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omer.uit.no\aaa024\My Documents\Septentrio\Santos sin bok\FISH IT\"/>
    </mc:Choice>
  </mc:AlternateContent>
  <bookViews>
    <workbookView xWindow="0" yWindow="0" windowWidth="28800" windowHeight="14235"/>
  </bookViews>
  <sheets>
    <sheet name="Info" sheetId="23" r:id="rId1"/>
    <sheet name="Distance sampling" sheetId="1" r:id="rId2"/>
    <sheet name="Mark-recapture" sheetId="17" r:id="rId3"/>
    <sheet name="Depletion" sheetId="22" r:id="rId4"/>
    <sheet name="License &amp; Reference" sheetId="11" r:id="rId5"/>
    <sheet name="Sheet13" sheetId="12" r:id="rId6"/>
    <sheet name="Sheet14" sheetId="13" r:id="rId7"/>
    <sheet name="Sheet15" sheetId="14" r:id="rId8"/>
    <sheet name="Sheet16" sheetId="15" r:id="rId9"/>
  </sheets>
  <externalReferences>
    <externalReference r:id="rId10"/>
  </externalReferences>
  <definedNames>
    <definedName name="A" localSheetId="0">'[1]Distance sampling'!$B$11</definedName>
    <definedName name="A">'Distance sampling'!$B$11</definedName>
    <definedName name="b" localSheetId="0">'[1]Distance sampling'!$B$58</definedName>
    <definedName name="b">'Distance sampling'!$B$58</definedName>
    <definedName name="Catch" localSheetId="0">'[1]Mark-recapture'!$B$11</definedName>
    <definedName name="Catch">'Mark-recapture'!$B$11</definedName>
    <definedName name="factor" localSheetId="0">'[1]Swept-area (stratified)'!$AF$61</definedName>
    <definedName name="factor">#REF!</definedName>
    <definedName name="g_0" localSheetId="0">'[1]Distance sampling'!$B$17</definedName>
    <definedName name="g_0">'Distance sampling'!$B$17</definedName>
    <definedName name="L" localSheetId="0">'[1]Distance sampling'!$B$12</definedName>
    <definedName name="L">'Distance sampling'!$B$12</definedName>
    <definedName name="n" localSheetId="0">'[1]Distance sampling'!$B$10</definedName>
    <definedName name="n">'Distance sampling'!$B$10</definedName>
    <definedName name="N_est" localSheetId="0">'[1]Distance sampling'!$B$60</definedName>
    <definedName name="N_est">'Distance sampling'!$B$60</definedName>
    <definedName name="N_tot" localSheetId="0">'[1]Swept-area (stratified)'!$J$56</definedName>
    <definedName name="N_tot">#REF!</definedName>
    <definedName name="N_totr" localSheetId="0">'[1]Swept area (random)'!$L$57</definedName>
    <definedName name="N_totr">#REF!</definedName>
    <definedName name="Ni" localSheetId="0">'[1]Swept-area (stratified)'!$J$57</definedName>
    <definedName name="Ni">#REF!</definedName>
    <definedName name="Noo" localSheetId="0">[1]Depletion!$B$137</definedName>
    <definedName name="Noo">Depletion!$B$137</definedName>
    <definedName name="Noo__95" localSheetId="0">[1]Depletion!$B$147</definedName>
    <definedName name="Noo__95">Depletion!$B$147</definedName>
    <definedName name="Noo_95" localSheetId="0">[1]Depletion!$B$148</definedName>
    <definedName name="Noo_95">Depletion!$B$148</definedName>
    <definedName name="nr" localSheetId="0">'[1]Swept area (random)'!$B$25</definedName>
    <definedName name="nr">#REF!</definedName>
    <definedName name="ns" localSheetId="0">'[1]Swept-area (stratified)'!$B$24</definedName>
    <definedName name="ns">#REF!</definedName>
    <definedName name="P" localSheetId="0">'[1]Distance sampling'!$B$63</definedName>
    <definedName name="P">'Distance sampling'!$B$63</definedName>
    <definedName name="Q" localSheetId="0">'[1]Distance sampling'!$B$64</definedName>
    <definedName name="Q">'Distance sampling'!$B$64</definedName>
    <definedName name="Recapture" localSheetId="0">'[1]Mark-recapture'!$B$12</definedName>
    <definedName name="Recapture">'Mark-recapture'!$B$12</definedName>
    <definedName name="rsq" localSheetId="0">[1]Depletion!$B$138</definedName>
    <definedName name="rsq">Depletion!$B$138</definedName>
    <definedName name="sd_random" localSheetId="0">'[1]Swept area (random)'!$M$60</definedName>
    <definedName name="sd_random">#REF!</definedName>
    <definedName name="sd_stock" localSheetId="0">'[1]Mark-recapture'!$B$138</definedName>
    <definedName name="sd_stock">'Mark-recapture'!$B$138</definedName>
    <definedName name="sd_strx">#REF!</definedName>
    <definedName name="sd_totr" localSheetId="0">'[1]Swept area (random)'!$M$68</definedName>
    <definedName name="sd_totr">#REF!</definedName>
    <definedName name="sd_totst" localSheetId="0">'[1]Swept-area (stratified)'!$AF$65</definedName>
    <definedName name="sd_totst">#REF!</definedName>
    <definedName name="sdst1" localSheetId="0">'[1]Swept-area (stratified)'!$I$62</definedName>
    <definedName name="sdst1">#REF!</definedName>
    <definedName name="sdst2" localSheetId="0">'[1]Swept-area (stratified)'!$I$92</definedName>
    <definedName name="sdst2">#REF!</definedName>
    <definedName name="sdst3" localSheetId="0">'[1]Swept-area (stratified)'!$I$122</definedName>
    <definedName name="sdst3">#REF!</definedName>
    <definedName name="stock" localSheetId="0">'[1]Mark-recapture'!$B$137</definedName>
    <definedName name="stock">'Mark-recapture'!$B$137</definedName>
    <definedName name="str_mean" localSheetId="0">'[1]Swept-area (stratified)'!$AF$59</definedName>
    <definedName name="str_mean">#REF!</definedName>
    <definedName name="str_tot" localSheetId="0">'[1]Swept-area (stratified)'!$AF$60</definedName>
    <definedName name="str_tot">#REF!</definedName>
    <definedName name="Tagged" localSheetId="0">'[1]Mark-recapture'!$B$10</definedName>
    <definedName name="Tagged">'Mark-recapture'!$B$10</definedName>
    <definedName name="tot_r" localSheetId="0">'[1]Swept area (random)'!$M$63</definedName>
    <definedName name="tot_r">#REF!</definedName>
    <definedName name="tw" localSheetId="0">'[1]Distance sampling'!$B$59</definedName>
    <definedName name="tw">'Distance sampling'!$B$59</definedName>
    <definedName name="var_N" localSheetId="0">'[1]Distance sampling'!$B$65</definedName>
    <definedName name="var_N">'Distance sampling'!$B$65</definedName>
    <definedName name="var_strx" localSheetId="0">'[1]Swept-area (stratified)'!$AF$62</definedName>
    <definedName name="var_strx">#REF!</definedName>
    <definedName name="var_totr" localSheetId="0">'[1]Swept area (random)'!$M$66</definedName>
    <definedName name="var_totr">#REF!</definedName>
    <definedName name="var_totst" localSheetId="0">'[1]Swept-area (stratified)'!$AF$64</definedName>
    <definedName name="var_totst">#REF!</definedName>
    <definedName name="x_random" localSheetId="0">'[1]Swept area (random)'!$J$60</definedName>
    <definedName name="x_random">#REF!</definedName>
    <definedName name="xst1" localSheetId="0">'[1]Swept-area (stratified)'!$I$60</definedName>
    <definedName name="xst1">#REF!</definedName>
    <definedName name="xst2" localSheetId="0">'[1]Swept-area (stratified)'!$I$90</definedName>
    <definedName name="xst2">#REF!</definedName>
    <definedName name="xst3" localSheetId="0">'[1]Swept-area (stratified)'!$I$120</definedName>
    <definedName name="xst3">#REF!</definedName>
    <definedName name="y_max" localSheetId="0">'[1]Distance sampling'!$B$16</definedName>
    <definedName name="y_max">'Distance sampling'!$B$16</definedName>
  </definedNames>
  <calcPr calcId="152511"/>
</workbook>
</file>

<file path=xl/calcChain.xml><?xml version="1.0" encoding="utf-8"?>
<calcChain xmlns="http://schemas.openxmlformats.org/spreadsheetml/2006/main">
  <c r="F8" i="22" l="1"/>
  <c r="F9" i="22"/>
  <c r="F10" i="22"/>
  <c r="B142" i="22" s="1"/>
  <c r="B143" i="22" s="1" a="1"/>
  <c r="B143" i="22" s="1"/>
  <c r="F11" i="22"/>
  <c r="F12" i="22"/>
  <c r="F13" i="22"/>
  <c r="F14" i="22"/>
  <c r="F15" i="22"/>
  <c r="F16" i="22"/>
  <c r="F17" i="22"/>
  <c r="F18" i="22"/>
  <c r="F19" i="22"/>
  <c r="E8" i="22"/>
  <c r="E9" i="22" s="1"/>
  <c r="A101" i="22"/>
  <c r="B101" i="22"/>
  <c r="A100" i="22"/>
  <c r="A99" i="22"/>
  <c r="B138" i="17"/>
  <c r="B16" i="17" s="1"/>
  <c r="B137" i="17"/>
  <c r="B15" i="17" s="1"/>
  <c r="B58" i="1"/>
  <c r="B59" i="1" l="1"/>
  <c r="B80" i="1"/>
  <c r="B135" i="22"/>
  <c r="E10" i="22"/>
  <c r="E11" i="22" s="1"/>
  <c r="E12" i="22" s="1"/>
  <c r="E13" i="22" s="1"/>
  <c r="E14" i="22" s="1"/>
  <c r="E15" i="22" s="1"/>
  <c r="E16" i="22" s="1"/>
  <c r="E17" i="22" s="1"/>
  <c r="E18" i="22" s="1"/>
  <c r="E19" i="22" s="1"/>
  <c r="B138" i="22"/>
  <c r="B139" i="22"/>
  <c r="B74" i="1"/>
  <c r="B72" i="1"/>
  <c r="B75" i="1"/>
  <c r="B73" i="1"/>
  <c r="B78" i="1"/>
  <c r="B79" i="1"/>
  <c r="B76" i="1"/>
  <c r="B71" i="1"/>
  <c r="B63" i="1"/>
  <c r="B60" i="1"/>
  <c r="B77" i="1"/>
  <c r="B81" i="1"/>
  <c r="B64" i="1" l="1"/>
  <c r="B140" i="22"/>
  <c r="B141" i="22" s="1" a="1"/>
  <c r="B141" i="22" s="1"/>
  <c r="B25" i="22"/>
  <c r="B144" i="22"/>
  <c r="B136" i="22"/>
  <c r="B137" i="22" s="1"/>
  <c r="B65" i="1"/>
  <c r="B32" i="1"/>
  <c r="B33" i="1" l="1"/>
  <c r="B145" i="22"/>
  <c r="B146" i="22" s="1"/>
  <c r="B147" i="22" s="1"/>
  <c r="B24" i="22" s="1"/>
  <c r="B22" i="22"/>
  <c r="B148" i="22"/>
  <c r="B23" i="22" s="1"/>
</calcChain>
</file>

<file path=xl/sharedStrings.xml><?xml version="1.0" encoding="utf-8"?>
<sst xmlns="http://schemas.openxmlformats.org/spreadsheetml/2006/main" count="146" uniqueCount="122">
  <si>
    <t>TRANSECT METHOD (DEMO)</t>
  </si>
  <si>
    <t>This is a demo. You are allowed, and encouraged, to try new values,</t>
  </si>
  <si>
    <t>but only those values found in the yellow cells.</t>
  </si>
  <si>
    <t>A survey of whales was done in the ocean by a boat with an observer on top of a pole.</t>
  </si>
  <si>
    <r>
      <t xml:space="preserve">The observer sights animals at a perpendicular distance </t>
    </r>
    <r>
      <rPr>
        <i/>
        <sz val="10"/>
        <rFont val="Arial"/>
        <family val="2"/>
      </rPr>
      <t>y</t>
    </r>
    <r>
      <rPr>
        <sz val="10"/>
        <rFont val="Arial"/>
        <family val="2"/>
      </rPr>
      <t xml:space="preserve"> from the boat.</t>
    </r>
  </si>
  <si>
    <t>Given the following data, estimate abundance, N(est), and its standard deviation, sd(N)</t>
  </si>
  <si>
    <t>n=</t>
  </si>
  <si>
    <t>number of observations (e.g. sightings)</t>
  </si>
  <si>
    <t>A=</t>
  </si>
  <si>
    <t>total area (e.g. square nautical miles)</t>
  </si>
  <si>
    <t>L=</t>
  </si>
  <si>
    <t>transect length (e.g. nautical miles)</t>
  </si>
  <si>
    <t>A histogram of the observations suggests a right triangle sighting model (one of the simplest)</t>
  </si>
  <si>
    <t>with parameters</t>
  </si>
  <si>
    <t>y(max)=</t>
  </si>
  <si>
    <t>max perpendicular distance at which animals were sighted</t>
  </si>
  <si>
    <t>g(0)=</t>
  </si>
  <si>
    <t>proportion of animals exactly on the transect line that were counted</t>
  </si>
  <si>
    <t>RESULTS</t>
  </si>
  <si>
    <t>Thus from these observations we estimate the following abundance and standard deviation</t>
  </si>
  <si>
    <t>N(est)</t>
  </si>
  <si>
    <t>sd(N)</t>
  </si>
  <si>
    <t>Note: this method has a number of assumptions (see literature)</t>
  </si>
  <si>
    <t>Calculations</t>
  </si>
  <si>
    <t>Number</t>
  </si>
  <si>
    <t>b</t>
  </si>
  <si>
    <t>tw</t>
  </si>
  <si>
    <t>transect width (same as c)</t>
  </si>
  <si>
    <t>Variance</t>
  </si>
  <si>
    <t>P</t>
  </si>
  <si>
    <t>Q</t>
  </si>
  <si>
    <t>var(N)</t>
  </si>
  <si>
    <t>Plot</t>
  </si>
  <si>
    <t>Sighting model</t>
  </si>
  <si>
    <t>y</t>
  </si>
  <si>
    <t>g(y)</t>
  </si>
  <si>
    <t>MARK-RECAPTURE METHOD (PETERSEN'S) (DEMO)</t>
  </si>
  <si>
    <t>In order to estimate stock size you use a mark-recapture method.</t>
  </si>
  <si>
    <t>A number of tagged fish is released to a fish stock.</t>
  </si>
  <si>
    <t>The proportion of tagged fish in subsequent catches is used to estimate the stock size.</t>
  </si>
  <si>
    <t>Tagged</t>
  </si>
  <si>
    <t>number of tagged fish</t>
  </si>
  <si>
    <t>Catch</t>
  </si>
  <si>
    <t>number of fish in the subsequent catch</t>
  </si>
  <si>
    <t>Recapture</t>
  </si>
  <si>
    <t>number of fish in the catch which is tagged</t>
  </si>
  <si>
    <t>stock size</t>
  </si>
  <si>
    <t>number of fish</t>
  </si>
  <si>
    <t>sd stock size</t>
  </si>
  <si>
    <t>(standard deviation of the stock estimate)</t>
  </si>
  <si>
    <t>stock</t>
  </si>
  <si>
    <t>sd_stock</t>
  </si>
  <si>
    <t>DEPLETION METHOD (LESLIE'S METHOD)  - DEMO</t>
  </si>
  <si>
    <t>Effort</t>
  </si>
  <si>
    <t>days fishing</t>
  </si>
  <si>
    <t>Cumulative catch</t>
  </si>
  <si>
    <t>CPUE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</si>
  <si>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</si>
  <si>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</si>
  <si>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</si>
  <si>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</si>
  <si>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</si>
  <si>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</si>
  <si>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</si>
  <si>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</si>
  <si>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</si>
  <si>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</si>
  <si>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</si>
  <si>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</si>
  <si>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Stock</t>
  </si>
  <si>
    <r>
      <t>R</t>
    </r>
    <r>
      <rPr>
        <vertAlign val="superscript"/>
        <sz val="10"/>
        <rFont val="Arial"/>
        <family val="2"/>
      </rPr>
      <t>2</t>
    </r>
  </si>
  <si>
    <t>Coefficient of determination (quality of the fit)</t>
  </si>
  <si>
    <t>Computations</t>
  </si>
  <si>
    <t>Regression</t>
  </si>
  <si>
    <t>Slope</t>
  </si>
  <si>
    <t>intercept</t>
  </si>
  <si>
    <t>Noo</t>
  </si>
  <si>
    <t>rsq</t>
  </si>
  <si>
    <t>JdS</t>
  </si>
  <si>
    <t>Simulate for various Catch, re-catch and Tagged sizes.</t>
  </si>
  <si>
    <t>What do you conclude about the applicability of the method to large and small populations?</t>
  </si>
  <si>
    <t>Give example.</t>
  </si>
  <si>
    <t xml:space="preserve">Estimate of the original stock size </t>
  </si>
  <si>
    <t>s</t>
  </si>
  <si>
    <t>Kavg</t>
  </si>
  <si>
    <t>ssqK</t>
  </si>
  <si>
    <t>VarNoo</t>
  </si>
  <si>
    <t>cpueavg</t>
  </si>
  <si>
    <t>ssqcpue</t>
  </si>
  <si>
    <t>s2y.x</t>
  </si>
  <si>
    <t>seNoo</t>
  </si>
  <si>
    <t>Noo-95%</t>
  </si>
  <si>
    <t>approx. For large samples (s&gt;10)</t>
  </si>
  <si>
    <t>low95%</t>
  </si>
  <si>
    <t>up95%</t>
  </si>
  <si>
    <t>Noo++95%</t>
  </si>
  <si>
    <t>Lower 95% confidence bound of stock size</t>
  </si>
  <si>
    <t>Upper 95% confidence bound of stock size</t>
  </si>
  <si>
    <t>Try the depletion method with the following set of values. Notice that the series of effort is the same.</t>
  </si>
  <si>
    <t>Does it matter for the precision of the estimate whether a small or large part of the population was depleted? How?</t>
  </si>
  <si>
    <t>Numbers</t>
  </si>
  <si>
    <t xml:space="preserve"> by Jorge Santos</t>
  </si>
  <si>
    <t>Goals</t>
  </si>
  <si>
    <t>Simple mark-recapture (Petersen's) method to calculate abundance</t>
  </si>
  <si>
    <t>Depletion (Leslie's) method to calculate original abundance</t>
  </si>
  <si>
    <t>Progression</t>
  </si>
  <si>
    <t>Many of these methods are very well explained in the main reading book.</t>
  </si>
  <si>
    <t>Software</t>
  </si>
  <si>
    <t>Excel. No libraries required</t>
  </si>
  <si>
    <t>General introduction to distance sampling (transects)</t>
  </si>
  <si>
    <t>Echo-integration as a distance sampling methodology for fish</t>
  </si>
  <si>
    <t>Direct counting</t>
  </si>
  <si>
    <t>Direct counting methods are independent from previous labs in this course.</t>
  </si>
  <si>
    <t>In the next lab, these methods will be integrated in a sampling framework</t>
  </si>
  <si>
    <t>The general methodology used by biologists to estimate organism density in the field</t>
  </si>
  <si>
    <t>Swept-area survey for bottom organisms: a quadrat sampling method</t>
  </si>
  <si>
    <t>One exercise requires own programming. The others are demos.</t>
  </si>
  <si>
    <t>Santos, J. 2015. FIΣH IT 1.0 – Student Manual: A Training System for Aquatic Resource Managers. Septentrio Educational 2015(3).</t>
  </si>
  <si>
    <t>DOI: http://dx.doi.org/10.7557/se.2015.3</t>
  </si>
  <si>
    <r>
      <rPr>
        <sz val="10"/>
        <rFont val="Arial"/>
        <family val="2"/>
      </rPr>
      <t xml:space="preserve">This work is licensed under a </t>
    </r>
    <r>
      <rPr>
        <u/>
        <sz val="10"/>
        <color theme="10"/>
        <rFont val="Arial"/>
        <family val="2"/>
      </rPr>
      <t>Creative Commons Attribution 4.0 International License</t>
    </r>
    <r>
      <rPr>
        <sz val="10"/>
        <rFont val="Arial"/>
        <family val="2"/>
      </rPr>
      <t>.</t>
    </r>
  </si>
  <si>
    <t>DOI: http://dx.doi.org/10.7557/8.3603</t>
  </si>
  <si>
    <t>Chapter 8 - Hands wet: Counting the fish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</si>
</sst>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0"/>
      <color theme="1" tint="0.34998626667073579"/>
      <name val="Arial"/>
      <family val="2"/>
    </font>
    <font>
      <u/>
      <sz val="10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2" fillId="0" borderId="0"/>
    <xf numFmtId="0" fontId="12" fillId="0" borderId="0"/>
    <xf numFmtId="0" fontId="15" fillId="8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0" fontId="3" fillId="2" borderId="0" xfId="0" applyFont="1" applyFill="1"/>
    <xf numFmtId="0" fontId="0" fillId="2" borderId="0" xfId="0" applyFill="1"/>
    <xf numFmtId="0" fontId="1" fillId="3" borderId="0" xfId="0" applyFont="1" applyFill="1"/>
    <xf numFmtId="0" fontId="2" fillId="0" borderId="0" xfId="0" applyFont="1"/>
    <xf numFmtId="0" fontId="0" fillId="3" borderId="0" xfId="0" applyFill="1"/>
    <xf numFmtId="164" fontId="0" fillId="0" borderId="0" xfId="0" applyNumberFormat="1"/>
    <xf numFmtId="0" fontId="6" fillId="3" borderId="0" xfId="0" applyFont="1" applyFill="1"/>
    <xf numFmtId="1" fontId="6" fillId="3" borderId="0" xfId="0" applyNumberFormat="1" applyFont="1" applyFill="1"/>
    <xf numFmtId="0" fontId="8" fillId="0" borderId="0" xfId="0" applyFont="1"/>
    <xf numFmtId="0" fontId="9" fillId="3" borderId="0" xfId="0" applyFont="1" applyFill="1"/>
    <xf numFmtId="1" fontId="7" fillId="3" borderId="0" xfId="0" applyNumberFormat="1" applyFont="1" applyFill="1" applyAlignment="1">
      <alignment horizontal="center"/>
    </xf>
    <xf numFmtId="1" fontId="0" fillId="2" borderId="0" xfId="0" applyNumberFormat="1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0" fillId="0" borderId="0" xfId="0" applyFont="1" applyProtection="1"/>
    <xf numFmtId="0" fontId="0" fillId="0" borderId="0" xfId="0" applyProtection="1"/>
    <xf numFmtId="0" fontId="3" fillId="2" borderId="0" xfId="0" applyFont="1" applyFill="1" applyProtection="1"/>
    <xf numFmtId="0" fontId="0" fillId="2" borderId="0" xfId="0" applyFill="1" applyProtection="1"/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0" fontId="5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horizontal="center"/>
    </xf>
    <xf numFmtId="1" fontId="0" fillId="2" borderId="0" xfId="0" applyNumberFormat="1" applyFill="1" applyAlignment="1" applyProtection="1">
      <alignment horizontal="center"/>
    </xf>
    <xf numFmtId="2" fontId="0" fillId="2" borderId="0" xfId="0" applyNumberFormat="1" applyFill="1" applyAlignment="1" applyProtection="1">
      <alignment horizontal="center"/>
    </xf>
    <xf numFmtId="1" fontId="0" fillId="0" borderId="0" xfId="0" applyNumberFormat="1" applyProtection="1"/>
    <xf numFmtId="0" fontId="0" fillId="3" borderId="0" xfId="0" applyFill="1" applyProtection="1"/>
    <xf numFmtId="1" fontId="7" fillId="3" borderId="0" xfId="0" applyNumberFormat="1" applyFont="1" applyFill="1" applyProtection="1"/>
    <xf numFmtId="0" fontId="0" fillId="5" borderId="0" xfId="0" applyFill="1" applyProtection="1"/>
    <xf numFmtId="1" fontId="13" fillId="5" borderId="0" xfId="0" applyNumberFormat="1" applyFont="1" applyFill="1" applyProtection="1"/>
    <xf numFmtId="2" fontId="12" fillId="3" borderId="0" xfId="0" applyNumberFormat="1" applyFont="1" applyFill="1" applyProtection="1"/>
    <xf numFmtId="2" fontId="5" fillId="0" borderId="0" xfId="0" applyNumberFormat="1" applyFont="1" applyProtection="1"/>
    <xf numFmtId="2" fontId="0" fillId="0" borderId="0" xfId="0" applyNumberFormat="1" applyProtection="1"/>
    <xf numFmtId="0" fontId="12" fillId="7" borderId="0" xfId="1" applyFill="1"/>
    <xf numFmtId="0" fontId="12" fillId="0" borderId="0" xfId="1"/>
    <xf numFmtId="0" fontId="12" fillId="6" borderId="0" xfId="1" applyFill="1"/>
    <xf numFmtId="0" fontId="12" fillId="0" borderId="0" xfId="1" applyFont="1"/>
    <xf numFmtId="0" fontId="3" fillId="2" borderId="0" xfId="1" applyFont="1" applyFill="1"/>
    <xf numFmtId="0" fontId="12" fillId="6" borderId="0" xfId="1" applyFont="1" applyFill="1"/>
    <xf numFmtId="0" fontId="12" fillId="2" borderId="0" xfId="1" applyFill="1"/>
    <xf numFmtId="0" fontId="14" fillId="6" borderId="0" xfId="1" applyFont="1" applyFill="1"/>
    <xf numFmtId="0" fontId="12" fillId="6" borderId="0" xfId="2" applyFont="1" applyFill="1"/>
    <xf numFmtId="0" fontId="16" fillId="9" borderId="0" xfId="3" applyFont="1" applyFill="1"/>
    <xf numFmtId="0" fontId="15" fillId="9" borderId="0" xfId="3" applyFill="1"/>
    <xf numFmtId="0" fontId="17" fillId="2" borderId="0" xfId="1" applyFont="1" applyFill="1"/>
    <xf numFmtId="0" fontId="12" fillId="0" borderId="0" xfId="0" applyFont="1"/>
    <xf numFmtId="0" fontId="18" fillId="0" borderId="0" xfId="4"/>
    <xf numFmtId="0" fontId="12" fillId="0" borderId="0" xfId="4" applyFont="1"/>
    <xf numFmtId="0" fontId="18" fillId="0" borderId="0" xfId="4" applyFont="1"/>
    <xf numFmtId="0" fontId="18" fillId="0" borderId="0" xfId="4" applyFill="1"/>
    <xf numFmtId="0" fontId="0" fillId="0" borderId="0" xfId="0" applyFill="1"/>
  </cellXfs>
  <cellStyles count="5">
    <cellStyle name="Accent1" xfId="3" builtinId="29"/>
    <cellStyle name="Hyperlink" xfId="4" builtinId="8"/>
    <cellStyle name="Normal" xfId="0" builtinId="0"/>
    <cellStyle name="Normal 3" xfId="1"/>
    <cellStyle name="Normal 3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Right triangle sighting model</a:t>
            </a:r>
          </a:p>
        </c:rich>
      </c:tx>
      <c:layout>
        <c:manualLayout>
          <c:xMode val="edge"/>
          <c:yMode val="edge"/>
          <c:x val="0.22580645161290322"/>
          <c:y val="4.57142857142857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580645161290322"/>
          <c:y val="0.17142904974623255"/>
          <c:w val="0.66275659824046917"/>
          <c:h val="0.468572735973035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'Distance sampling'!$B$70</c:f>
              <c:strCache>
                <c:ptCount val="1"/>
                <c:pt idx="0">
                  <c:v>g(y)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'Distance sampling'!$A$71:$A$81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'Distance sampling'!$B$71:$B$81</c:f>
              <c:numCache>
                <c:formatCode>0.0</c:formatCode>
                <c:ptCount val="11"/>
                <c:pt idx="0">
                  <c:v>1</c:v>
                </c:pt>
                <c:pt idx="1">
                  <c:v>0.8</c:v>
                </c:pt>
                <c:pt idx="2">
                  <c:v>0.6</c:v>
                </c:pt>
                <c:pt idx="3">
                  <c:v>0.39999999999999991</c:v>
                </c:pt>
                <c:pt idx="4">
                  <c:v>0.19999999999999996</c:v>
                </c:pt>
                <c:pt idx="5">
                  <c:v>0</c:v>
                </c:pt>
                <c:pt idx="6">
                  <c:v>-0.20000000000000018</c:v>
                </c:pt>
                <c:pt idx="7">
                  <c:v>-0.40000000000000013</c:v>
                </c:pt>
                <c:pt idx="8">
                  <c:v>-0.60000000000000009</c:v>
                </c:pt>
                <c:pt idx="9">
                  <c:v>-0.8</c:v>
                </c:pt>
                <c:pt idx="10">
                  <c:v>-1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935592"/>
        <c:axId val="370935984"/>
      </c:scatterChart>
      <c:valAx>
        <c:axId val="370935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distance (y)</a:t>
                </a:r>
              </a:p>
            </c:rich>
          </c:tx>
          <c:layout>
            <c:manualLayout>
              <c:xMode val="edge"/>
              <c:yMode val="edge"/>
              <c:x val="0.45747800586510262"/>
              <c:y val="0.794288113985751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70935984"/>
        <c:crosses val="autoZero"/>
        <c:crossBetween val="midCat"/>
      </c:valAx>
      <c:valAx>
        <c:axId val="370935984"/>
        <c:scaling>
          <c:orientation val="minMax"/>
          <c:max val="1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Proportion sighted, g(y)</a:t>
                </a:r>
              </a:p>
            </c:rich>
          </c:tx>
          <c:layout>
            <c:manualLayout>
              <c:xMode val="edge"/>
              <c:yMode val="edge"/>
              <c:x val="4.6920821114369501E-2"/>
              <c:y val="0.2000005999250093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709355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nb-NO"/>
              <a:t>Depletion method</a:t>
            </a:r>
          </a:p>
        </c:rich>
      </c:tx>
      <c:layout>
        <c:manualLayout>
          <c:xMode val="edge"/>
          <c:yMode val="edge"/>
          <c:x val="0.35714328566072095"/>
          <c:y val="3.89105058365758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22465045504869"/>
          <c:y val="0.25291828793774318"/>
          <c:w val="0.77142934015200504"/>
          <c:h val="0.55642023346303504"/>
        </c:manualLayout>
      </c:layout>
      <c:scatterChart>
        <c:scatterStyle val="lineMarker"/>
        <c:varyColors val="0"/>
        <c:ser>
          <c:idx val="0"/>
          <c:order val="0"/>
          <c:tx>
            <c:strRef>
              <c:f>Depletion!$F$7</c:f>
              <c:strCache>
                <c:ptCount val="1"/>
                <c:pt idx="0">
                  <c:v>CPUE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ysDash"/>
              </a:ln>
            </c:spPr>
            <c:trendlineType val="linear"/>
            <c:forward val="2000"/>
            <c:dispRSqr val="1"/>
            <c:dispEq val="1"/>
            <c:trendlineLbl>
              <c:layout>
                <c:manualLayout>
                  <c:x val="8.2153026856785397E-2"/>
                  <c:y val="-0.45265888456549935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nb-NO"/>
                </a:p>
              </c:txPr>
            </c:trendlineLbl>
          </c:trendline>
          <c:xVal>
            <c:numRef>
              <c:f>Depletion!$E$8:$E$19</c:f>
              <c:numCache>
                <c:formatCode>0</c:formatCode>
                <c:ptCount val="12"/>
                <c:pt idx="0">
                  <c:v>1717.4862230909002</c:v>
                </c:pt>
                <c:pt idx="1">
                  <c:v>2862.4770384848339</c:v>
                </c:pt>
                <c:pt idx="2">
                  <c:v>3912.0519525959394</c:v>
                </c:pt>
                <c:pt idx="3">
                  <c:v>4770.79506414139</c:v>
                </c:pt>
                <c:pt idx="4">
                  <c:v>5343.290471838357</c:v>
                </c:pt>
                <c:pt idx="5">
                  <c:v>5724.9540769696678</c:v>
                </c:pt>
                <c:pt idx="6">
                  <c:v>6106.6176821009794</c:v>
                </c:pt>
                <c:pt idx="7">
                  <c:v>6679.1130897979456</c:v>
                </c:pt>
                <c:pt idx="8">
                  <c:v>6869.944892363601</c:v>
                </c:pt>
                <c:pt idx="9">
                  <c:v>7251.6084974949126</c:v>
                </c:pt>
                <c:pt idx="10">
                  <c:v>7728.688003909052</c:v>
                </c:pt>
                <c:pt idx="11">
                  <c:v>7919.5198064747074</c:v>
                </c:pt>
              </c:numCache>
            </c:numRef>
          </c:xVal>
          <c:yVal>
            <c:numRef>
              <c:f>Depletion!$F$8:$F$19</c:f>
              <c:numCache>
                <c:formatCode>0</c:formatCode>
                <c:ptCount val="12"/>
                <c:pt idx="0">
                  <c:v>1623.6568678009653</c:v>
                </c:pt>
                <c:pt idx="1">
                  <c:v>1288.999574970924</c:v>
                </c:pt>
                <c:pt idx="2">
                  <c:v>1302.3846418509652</c:v>
                </c:pt>
                <c:pt idx="3">
                  <c:v>1034.3553796101273</c:v>
                </c:pt>
                <c:pt idx="4">
                  <c:v>999.23181125318092</c:v>
                </c:pt>
                <c:pt idx="5">
                  <c:v>706.35837889668267</c:v>
                </c:pt>
                <c:pt idx="6">
                  <c:v>743.26861581151354</c:v>
                </c:pt>
                <c:pt idx="7">
                  <c:v>562.08295075903652</c:v>
                </c:pt>
                <c:pt idx="8">
                  <c:v>597.97537109947791</c:v>
                </c:pt>
                <c:pt idx="9">
                  <c:v>545.9233683039638</c:v>
                </c:pt>
                <c:pt idx="10">
                  <c:v>362.3098045889634</c:v>
                </c:pt>
                <c:pt idx="11">
                  <c:v>303.01678640979679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335008"/>
        <c:axId val="363335400"/>
      </c:scatterChart>
      <c:valAx>
        <c:axId val="36333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Cumulative catch (numbers)</a:t>
                </a:r>
              </a:p>
            </c:rich>
          </c:tx>
          <c:layout>
            <c:manualLayout>
              <c:xMode val="edge"/>
              <c:yMode val="edge"/>
              <c:x val="0.36326573464031281"/>
              <c:y val="0.8521400778210116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3335400"/>
        <c:crosses val="autoZero"/>
        <c:crossBetween val="midCat"/>
      </c:valAx>
      <c:valAx>
        <c:axId val="363335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cpue</a:t>
                </a:r>
              </a:p>
            </c:rich>
          </c:tx>
          <c:layout>
            <c:manualLayout>
              <c:xMode val="edge"/>
              <c:yMode val="edge"/>
              <c:x val="3.2653061224489799E-2"/>
              <c:y val="0.4630350194552529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36333500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17</xdr:row>
      <xdr:rowOff>123825</xdr:rowOff>
    </xdr:from>
    <xdr:to>
      <xdr:col>6</xdr:col>
      <xdr:colOff>400050</xdr:colOff>
      <xdr:row>28</xdr:row>
      <xdr:rowOff>9525</xdr:rowOff>
    </xdr:to>
    <xdr:graphicFrame macro="">
      <xdr:nvGraphicFramePr>
        <xdr:cNvPr id="10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180975</xdr:rowOff>
    </xdr:from>
    <xdr:to>
      <xdr:col>14</xdr:col>
      <xdr:colOff>285750</xdr:colOff>
      <xdr:row>14</xdr:row>
      <xdr:rowOff>152400</xdr:rowOff>
    </xdr:to>
    <xdr:pic>
      <xdr:nvPicPr>
        <xdr:cNvPr id="3075" name="Picture 1" descr="Ch4 2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80975"/>
          <a:ext cx="3962400" cy="2305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</xdr:row>
      <xdr:rowOff>19050</xdr:rowOff>
    </xdr:from>
    <xdr:to>
      <xdr:col>13</xdr:col>
      <xdr:colOff>476250</xdr:colOff>
      <xdr:row>19</xdr:row>
      <xdr:rowOff>19050</xdr:rowOff>
    </xdr:to>
    <xdr:graphicFrame macro="">
      <xdr:nvGraphicFramePr>
        <xdr:cNvPr id="6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19050</xdr:rowOff>
    </xdr:from>
    <xdr:to>
      <xdr:col>1</xdr:col>
      <xdr:colOff>161925</xdr:colOff>
      <xdr:row>7</xdr:row>
      <xdr:rowOff>0</xdr:rowOff>
    </xdr:to>
    <xdr:pic>
      <xdr:nvPicPr>
        <xdr:cNvPr id="3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90600"/>
          <a:ext cx="7620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a002\Documents\Jorge\India%20201506\FIXH%20IT\Crus\Bio-3556\Bio-3556%20Ch7%20Direct%20sampling%20(SOLUTIO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Transect"/>
      <sheetName val="Distance sampling"/>
      <sheetName val="Survey design"/>
      <sheetName val="Swept area (random)"/>
      <sheetName val="Swept-area (stratified)"/>
      <sheetName val="Mark-recapture"/>
      <sheetName val="Depletion"/>
      <sheetName val="Exercise scaling (1)"/>
      <sheetName val="Exercise scaling (2)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>
        <row r="10">
          <cell r="B10">
            <v>502</v>
          </cell>
        </row>
        <row r="11">
          <cell r="B11">
            <v>1500</v>
          </cell>
        </row>
        <row r="12">
          <cell r="B12">
            <v>150</v>
          </cell>
        </row>
        <row r="16">
          <cell r="B16">
            <v>4</v>
          </cell>
        </row>
        <row r="17">
          <cell r="B17">
            <v>1</v>
          </cell>
        </row>
        <row r="58">
          <cell r="B58">
            <v>4</v>
          </cell>
        </row>
        <row r="59">
          <cell r="B59">
            <v>2</v>
          </cell>
        </row>
        <row r="60">
          <cell r="B60">
            <v>1255</v>
          </cell>
        </row>
        <row r="63">
          <cell r="B63">
            <v>0.4</v>
          </cell>
        </row>
        <row r="64">
          <cell r="B64">
            <v>0.6</v>
          </cell>
        </row>
        <row r="65">
          <cell r="B65">
            <v>1882.5</v>
          </cell>
        </row>
      </sheetData>
      <sheetData sheetId="3"/>
      <sheetData sheetId="4">
        <row r="25">
          <cell r="B25">
            <v>2</v>
          </cell>
        </row>
        <row r="57">
          <cell r="L57">
            <v>90</v>
          </cell>
        </row>
        <row r="60">
          <cell r="J60">
            <v>69.543429100921728</v>
          </cell>
          <cell r="M60">
            <v>2.7997324362887728</v>
          </cell>
        </row>
        <row r="63">
          <cell r="M63">
            <v>6258.9086190829557</v>
          </cell>
        </row>
        <row r="66">
          <cell r="M66">
            <v>31040.466790637569</v>
          </cell>
        </row>
        <row r="68">
          <cell r="M68">
            <v>176.1830491013184</v>
          </cell>
        </row>
      </sheetData>
      <sheetData sheetId="5">
        <row r="24">
          <cell r="B24">
            <v>2</v>
          </cell>
        </row>
        <row r="56">
          <cell r="J56">
            <v>90</v>
          </cell>
        </row>
        <row r="57">
          <cell r="J57">
            <v>30</v>
          </cell>
        </row>
        <row r="59">
          <cell r="AF59">
            <v>52.122332504398628</v>
          </cell>
        </row>
        <row r="60">
          <cell r="I60">
            <v>19.024255636254551</v>
          </cell>
          <cell r="AF60">
            <v>4691.0099253958761</v>
          </cell>
        </row>
        <row r="61">
          <cell r="AF61">
            <v>420</v>
          </cell>
        </row>
        <row r="62">
          <cell r="I62">
            <v>4.1805765006728546</v>
          </cell>
          <cell r="AF62">
            <v>17.904206390746275</v>
          </cell>
        </row>
        <row r="64">
          <cell r="AF64">
            <v>145024.07176504482</v>
          </cell>
        </row>
        <row r="65">
          <cell r="AF65">
            <v>380.82026175749212</v>
          </cell>
        </row>
        <row r="90">
          <cell r="I90">
            <v>55.672518591094011</v>
          </cell>
        </row>
        <row r="92">
          <cell r="I92">
            <v>12.370864405398743</v>
          </cell>
        </row>
        <row r="120">
          <cell r="I120">
            <v>81.670223285847328</v>
          </cell>
        </row>
        <row r="122">
          <cell r="I122">
            <v>13.220435051451702</v>
          </cell>
        </row>
      </sheetData>
      <sheetData sheetId="6">
        <row r="10">
          <cell r="B10">
            <v>50</v>
          </cell>
        </row>
        <row r="11">
          <cell r="B11">
            <v>100</v>
          </cell>
        </row>
        <row r="12">
          <cell r="B12">
            <v>10</v>
          </cell>
        </row>
        <row r="137">
          <cell r="B137">
            <v>500</v>
          </cell>
        </row>
        <row r="138">
          <cell r="B138">
            <v>150</v>
          </cell>
        </row>
      </sheetData>
      <sheetData sheetId="7">
        <row r="137">
          <cell r="B137">
            <v>9621.8750850705619</v>
          </cell>
        </row>
        <row r="138">
          <cell r="B138">
            <v>0.96756484558001743</v>
          </cell>
        </row>
        <row r="147">
          <cell r="B147">
            <v>10757.756272932229</v>
          </cell>
        </row>
        <row r="148">
          <cell r="B148">
            <v>8485.9938972088949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://dx.doi.org/10.7557/8.3514" TargetMode="External"/><Relationship Id="rId1" Type="http://schemas.openxmlformats.org/officeDocument/2006/relationships/hyperlink" Target="http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zoomScale="130" zoomScaleNormal="130" workbookViewId="0"/>
  </sheetViews>
  <sheetFormatPr defaultColWidth="9.140625" defaultRowHeight="12.75" x14ac:dyDescent="0.2"/>
  <cols>
    <col min="1" max="1" width="5.85546875" style="40" customWidth="1"/>
    <col min="2" max="16384" width="9.140625" style="40"/>
  </cols>
  <sheetData>
    <row r="1" spans="1:15" ht="26.25" x14ac:dyDescent="0.4">
      <c r="A1" s="48" t="s">
        <v>111</v>
      </c>
      <c r="B1" s="49"/>
      <c r="C1" s="49"/>
      <c r="D1" s="49"/>
      <c r="E1" s="49"/>
      <c r="F1" s="49" t="s">
        <v>101</v>
      </c>
      <c r="G1" s="49"/>
      <c r="H1" s="49"/>
      <c r="J1" s="39"/>
      <c r="K1" s="39"/>
      <c r="L1" s="39"/>
      <c r="M1" s="39"/>
      <c r="N1" s="39"/>
      <c r="O1" s="39"/>
    </row>
    <row r="2" spans="1:15" ht="15" x14ac:dyDescent="0.25">
      <c r="A2" s="49"/>
      <c r="B2" s="49"/>
      <c r="C2" s="49"/>
      <c r="D2" s="49"/>
      <c r="E2" s="49"/>
      <c r="F2" s="49"/>
      <c r="G2" s="49"/>
      <c r="H2" s="49"/>
      <c r="I2" s="39"/>
      <c r="J2" s="39"/>
      <c r="K2" s="39"/>
      <c r="L2" s="39"/>
      <c r="M2" s="39"/>
      <c r="N2" s="39"/>
      <c r="O2" s="39"/>
    </row>
    <row r="3" spans="1:15" x14ac:dyDescent="0.2">
      <c r="A3" s="41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x14ac:dyDescent="0.2">
      <c r="A4" s="42"/>
      <c r="B4" s="50" t="s">
        <v>102</v>
      </c>
      <c r="C4" s="43"/>
      <c r="D4" s="43"/>
      <c r="E4" s="43"/>
      <c r="F4" s="43"/>
      <c r="G4" s="43"/>
      <c r="H4" s="43"/>
      <c r="I4" s="41"/>
      <c r="J4" s="39"/>
      <c r="K4" s="39"/>
      <c r="L4" s="39"/>
      <c r="M4" s="39"/>
      <c r="N4" s="39"/>
      <c r="O4" s="39"/>
    </row>
    <row r="5" spans="1:15" x14ac:dyDescent="0.2">
      <c r="A5" s="41"/>
      <c r="B5" s="44" t="s">
        <v>114</v>
      </c>
      <c r="C5" s="41"/>
      <c r="D5" s="41"/>
      <c r="E5" s="41"/>
      <c r="F5" s="41"/>
      <c r="G5" s="41"/>
      <c r="H5" s="41"/>
      <c r="I5" s="41"/>
      <c r="J5" s="39"/>
      <c r="K5" s="39"/>
      <c r="L5" s="39"/>
      <c r="M5" s="39"/>
      <c r="N5" s="39"/>
      <c r="O5" s="39"/>
    </row>
    <row r="6" spans="1:15" x14ac:dyDescent="0.2">
      <c r="A6" s="41"/>
      <c r="B6" s="42" t="s">
        <v>109</v>
      </c>
      <c r="C6" s="41"/>
      <c r="D6" s="41"/>
      <c r="E6" s="41"/>
      <c r="F6" s="41"/>
      <c r="G6" s="41"/>
      <c r="H6" s="41"/>
      <c r="I6" s="41"/>
      <c r="J6" s="39"/>
      <c r="K6" s="39"/>
      <c r="L6" s="39"/>
      <c r="M6" s="39"/>
      <c r="N6" s="39"/>
      <c r="O6" s="39"/>
    </row>
    <row r="7" spans="1:15" x14ac:dyDescent="0.2">
      <c r="A7" s="41"/>
      <c r="B7" s="42" t="s">
        <v>110</v>
      </c>
      <c r="C7" s="41"/>
      <c r="D7" s="41"/>
      <c r="E7" s="41"/>
      <c r="F7" s="41"/>
      <c r="G7" s="41"/>
      <c r="H7" s="41"/>
      <c r="I7" s="41"/>
      <c r="J7" s="39"/>
      <c r="K7" s="39"/>
      <c r="L7" s="39"/>
      <c r="M7" s="39"/>
      <c r="N7" s="39"/>
      <c r="O7" s="39"/>
    </row>
    <row r="8" spans="1:15" x14ac:dyDescent="0.2">
      <c r="A8" s="41"/>
      <c r="B8" s="42" t="s">
        <v>115</v>
      </c>
      <c r="C8" s="41"/>
      <c r="D8" s="41"/>
      <c r="E8" s="41"/>
      <c r="F8" s="41"/>
      <c r="G8" s="41"/>
      <c r="H8" s="41"/>
      <c r="I8" s="41"/>
      <c r="J8" s="39"/>
      <c r="K8" s="39"/>
      <c r="L8" s="39"/>
      <c r="M8" s="39"/>
      <c r="N8" s="39"/>
      <c r="O8" s="39"/>
    </row>
    <row r="9" spans="1:15" x14ac:dyDescent="0.2">
      <c r="A9" s="41"/>
      <c r="B9" s="42" t="s">
        <v>103</v>
      </c>
      <c r="C9" s="41"/>
      <c r="D9" s="41"/>
      <c r="E9" s="41"/>
      <c r="F9" s="41"/>
      <c r="G9" s="41"/>
      <c r="H9" s="41"/>
      <c r="I9" s="41"/>
      <c r="J9" s="39"/>
      <c r="K9" s="39"/>
      <c r="L9" s="39"/>
      <c r="M9" s="39"/>
      <c r="N9" s="39"/>
      <c r="O9" s="39"/>
    </row>
    <row r="10" spans="1:15" x14ac:dyDescent="0.2">
      <c r="A10" s="41"/>
      <c r="B10" s="40" t="s">
        <v>104</v>
      </c>
      <c r="C10" s="41"/>
      <c r="D10" s="41"/>
      <c r="E10" s="41"/>
      <c r="F10" s="41"/>
      <c r="G10" s="41"/>
      <c r="H10" s="41"/>
      <c r="I10" s="41"/>
      <c r="J10" s="39"/>
      <c r="K10" s="39"/>
      <c r="L10" s="39"/>
      <c r="M10" s="39"/>
      <c r="N10" s="39"/>
      <c r="O10" s="39"/>
    </row>
    <row r="11" spans="1:15" x14ac:dyDescent="0.2">
      <c r="A11" s="41"/>
      <c r="B11" s="41"/>
      <c r="C11" s="41"/>
      <c r="D11" s="41"/>
      <c r="E11" s="41"/>
      <c r="F11" s="41"/>
      <c r="G11" s="41"/>
      <c r="H11" s="41"/>
      <c r="I11" s="41"/>
      <c r="J11" s="39"/>
      <c r="K11" s="39"/>
      <c r="L11" s="39"/>
      <c r="M11" s="39"/>
      <c r="N11" s="39"/>
      <c r="O11" s="39"/>
    </row>
    <row r="12" spans="1:15" x14ac:dyDescent="0.2">
      <c r="A12" s="41"/>
      <c r="B12" s="50" t="s">
        <v>105</v>
      </c>
      <c r="C12" s="45"/>
      <c r="D12" s="45"/>
      <c r="E12" s="45"/>
      <c r="F12" s="45"/>
      <c r="G12" s="45"/>
      <c r="H12" s="45"/>
      <c r="I12" s="41"/>
      <c r="J12" s="39"/>
      <c r="K12" s="39"/>
      <c r="L12" s="39"/>
      <c r="M12" s="39"/>
      <c r="N12" s="39"/>
      <c r="O12" s="39"/>
    </row>
    <row r="13" spans="1:15" x14ac:dyDescent="0.2">
      <c r="A13" s="41"/>
      <c r="B13" s="41" t="s">
        <v>112</v>
      </c>
      <c r="C13" s="41"/>
      <c r="D13" s="41"/>
      <c r="E13" s="41"/>
      <c r="F13" s="41"/>
      <c r="G13" s="41"/>
      <c r="H13" s="41"/>
      <c r="I13" s="41"/>
      <c r="J13" s="39"/>
      <c r="K13" s="39"/>
      <c r="L13" s="39"/>
      <c r="M13" s="39"/>
      <c r="N13" s="39"/>
      <c r="O13" s="39"/>
    </row>
    <row r="14" spans="1:15" x14ac:dyDescent="0.2">
      <c r="A14" s="41"/>
      <c r="B14" s="44" t="s">
        <v>106</v>
      </c>
      <c r="C14" s="41"/>
      <c r="D14" s="41"/>
      <c r="E14" s="41"/>
      <c r="F14" s="41"/>
      <c r="G14" s="41"/>
      <c r="H14" s="41"/>
      <c r="I14" s="41"/>
      <c r="J14" s="39"/>
      <c r="K14" s="39"/>
      <c r="L14" s="39"/>
      <c r="M14" s="39"/>
      <c r="N14" s="39"/>
      <c r="O14" s="39"/>
    </row>
    <row r="15" spans="1:15" x14ac:dyDescent="0.2">
      <c r="A15" s="41"/>
      <c r="B15" s="44" t="s">
        <v>113</v>
      </c>
      <c r="C15" s="41"/>
      <c r="D15" s="41"/>
      <c r="E15" s="41"/>
      <c r="F15" s="41"/>
      <c r="G15" s="41"/>
      <c r="H15" s="41"/>
      <c r="I15" s="41"/>
      <c r="J15" s="39"/>
      <c r="K15" s="39"/>
      <c r="L15" s="39"/>
      <c r="M15" s="39"/>
      <c r="N15" s="39"/>
      <c r="O15" s="39"/>
    </row>
    <row r="16" spans="1:15" x14ac:dyDescent="0.2">
      <c r="A16" s="41"/>
      <c r="B16" s="46"/>
      <c r="C16" s="41"/>
      <c r="D16" s="41"/>
      <c r="E16" s="41"/>
      <c r="F16" s="41"/>
      <c r="G16" s="41"/>
      <c r="H16" s="41"/>
      <c r="I16" s="41"/>
      <c r="J16" s="39"/>
      <c r="K16" s="39"/>
      <c r="L16" s="39"/>
      <c r="M16" s="39"/>
      <c r="N16" s="39"/>
      <c r="O16" s="39"/>
    </row>
    <row r="17" spans="1:15" x14ac:dyDescent="0.2">
      <c r="A17" s="41"/>
      <c r="B17" s="50" t="s">
        <v>107</v>
      </c>
      <c r="C17" s="45"/>
      <c r="D17" s="45"/>
      <c r="E17" s="45"/>
      <c r="F17" s="45"/>
      <c r="G17" s="45"/>
      <c r="H17" s="45"/>
      <c r="I17" s="41"/>
      <c r="J17" s="39"/>
      <c r="K17" s="39"/>
      <c r="L17" s="39"/>
      <c r="M17" s="39"/>
      <c r="N17" s="39"/>
      <c r="O17" s="39"/>
    </row>
    <row r="18" spans="1:15" x14ac:dyDescent="0.2">
      <c r="A18" s="41"/>
      <c r="B18" s="47" t="s">
        <v>108</v>
      </c>
      <c r="C18" s="41"/>
      <c r="D18" s="41"/>
      <c r="E18" s="41"/>
      <c r="F18" s="41"/>
      <c r="G18" s="41"/>
      <c r="H18" s="41"/>
      <c r="I18" s="41"/>
      <c r="J18" s="39"/>
      <c r="K18" s="39"/>
      <c r="L18" s="39"/>
      <c r="M18" s="39"/>
      <c r="N18" s="39"/>
      <c r="O18" s="39"/>
    </row>
    <row r="19" spans="1:15" x14ac:dyDescent="0.2">
      <c r="A19" s="41"/>
      <c r="B19" s="41" t="s">
        <v>116</v>
      </c>
      <c r="C19" s="41"/>
      <c r="D19" s="41"/>
      <c r="E19" s="41"/>
      <c r="F19" s="41"/>
      <c r="G19" s="41"/>
      <c r="H19" s="41"/>
      <c r="I19" s="41"/>
      <c r="J19" s="39"/>
      <c r="K19" s="39"/>
      <c r="L19" s="39"/>
      <c r="M19" s="39"/>
      <c r="N19" s="39"/>
      <c r="O19" s="39"/>
    </row>
    <row r="20" spans="1:1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39"/>
      <c r="K20" s="39"/>
      <c r="L20" s="39"/>
      <c r="M20" s="39"/>
      <c r="N20" s="39"/>
      <c r="O20" s="39"/>
    </row>
    <row r="21" spans="1:1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39"/>
      <c r="K21" s="39"/>
      <c r="L21" s="39"/>
      <c r="M21" s="39"/>
      <c r="N21" s="39"/>
      <c r="O21" s="39"/>
    </row>
    <row r="22" spans="1:1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39"/>
      <c r="K22" s="39"/>
      <c r="L22" s="39"/>
      <c r="M22" s="39"/>
      <c r="N22" s="39"/>
      <c r="O22" s="39"/>
    </row>
    <row r="23" spans="1:1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39"/>
      <c r="K23" s="39"/>
      <c r="L23" s="39"/>
      <c r="M23" s="39"/>
      <c r="N23" s="39"/>
      <c r="O23" s="39"/>
    </row>
    <row r="24" spans="1:1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39"/>
      <c r="K24" s="39"/>
      <c r="L24" s="39"/>
      <c r="M24" s="39"/>
      <c r="N24" s="39"/>
      <c r="O24" s="39"/>
    </row>
    <row r="25" spans="1:1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39"/>
      <c r="K25" s="39"/>
      <c r="L25" s="39"/>
      <c r="M25" s="39"/>
      <c r="N25" s="39"/>
      <c r="O25" s="39"/>
    </row>
    <row r="26" spans="1:1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39"/>
      <c r="K26" s="39"/>
      <c r="L26" s="39"/>
      <c r="M26" s="39"/>
      <c r="N26" s="39"/>
      <c r="O26" s="39"/>
    </row>
    <row r="27" spans="1:1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39"/>
      <c r="K27" s="39"/>
      <c r="L27" s="39"/>
      <c r="M27" s="39"/>
      <c r="N27" s="39"/>
      <c r="O27" s="39"/>
    </row>
    <row r="28" spans="1:1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39"/>
      <c r="K28" s="39"/>
      <c r="L28" s="39"/>
      <c r="M28" s="39"/>
      <c r="N28" s="39"/>
      <c r="O28" s="39"/>
    </row>
    <row r="29" spans="1:1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39"/>
      <c r="K29" s="39"/>
      <c r="L29" s="39"/>
      <c r="M29" s="39"/>
      <c r="N29" s="39"/>
      <c r="O29" s="39"/>
    </row>
    <row r="30" spans="1:1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39"/>
      <c r="K30" s="39"/>
      <c r="L30" s="39"/>
      <c r="M30" s="39"/>
      <c r="N30" s="39"/>
      <c r="O30" s="39"/>
    </row>
    <row r="31" spans="1:1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39"/>
      <c r="K31" s="39"/>
      <c r="L31" s="39"/>
      <c r="M31" s="39"/>
      <c r="N31" s="39"/>
      <c r="O31" s="39"/>
    </row>
    <row r="32" spans="1:1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39"/>
      <c r="K32" s="39"/>
      <c r="L32" s="39"/>
      <c r="M32" s="39"/>
      <c r="N32" s="39"/>
      <c r="O32" s="39"/>
    </row>
    <row r="33" spans="1:1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39"/>
      <c r="K33" s="39"/>
      <c r="L33" s="39"/>
      <c r="M33" s="39"/>
      <c r="N33" s="39"/>
      <c r="O33" s="39"/>
    </row>
    <row r="34" spans="1:1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39"/>
      <c r="K34" s="39"/>
      <c r="L34" s="39"/>
      <c r="M34" s="39"/>
      <c r="N34" s="39"/>
      <c r="O34" s="39"/>
    </row>
    <row r="35" spans="1:1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39"/>
      <c r="K35" s="39"/>
      <c r="L35" s="39"/>
      <c r="M35" s="39"/>
      <c r="N35" s="39"/>
      <c r="O35" s="39"/>
    </row>
    <row r="36" spans="1:1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39"/>
      <c r="K36" s="39"/>
      <c r="L36" s="39"/>
      <c r="M36" s="39"/>
      <c r="N36" s="39"/>
      <c r="O36" s="39"/>
    </row>
    <row r="37" spans="1:1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39"/>
      <c r="K37" s="39"/>
      <c r="L37" s="39"/>
      <c r="M37" s="39"/>
      <c r="N37" s="39"/>
      <c r="O37" s="39"/>
    </row>
    <row r="38" spans="1:1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39"/>
      <c r="K38" s="39"/>
      <c r="L38" s="39"/>
      <c r="M38" s="39"/>
      <c r="N38" s="39"/>
      <c r="O38" s="39"/>
    </row>
    <row r="39" spans="1:15" x14ac:dyDescent="0.2">
      <c r="J39" s="39"/>
      <c r="K39" s="39"/>
      <c r="L39" s="39"/>
      <c r="M39" s="39"/>
      <c r="N39" s="39"/>
      <c r="O39" s="3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workbookViewId="0"/>
  </sheetViews>
  <sheetFormatPr defaultColWidth="9.140625" defaultRowHeight="12.75" x14ac:dyDescent="0.2"/>
  <sheetData>
    <row r="1" spans="1:7" ht="18" x14ac:dyDescent="0.25">
      <c r="A1" s="2" t="s">
        <v>0</v>
      </c>
    </row>
    <row r="2" spans="1:7" x14ac:dyDescent="0.2">
      <c r="A2" s="1"/>
    </row>
    <row r="3" spans="1:7" x14ac:dyDescent="0.2">
      <c r="A3" s="3" t="s">
        <v>1</v>
      </c>
      <c r="B3" s="4"/>
      <c r="C3" s="4"/>
      <c r="D3" s="4"/>
      <c r="E3" s="4"/>
      <c r="F3" s="4"/>
      <c r="G3" s="4"/>
    </row>
    <row r="4" spans="1:7" x14ac:dyDescent="0.2">
      <c r="A4" s="3" t="s">
        <v>2</v>
      </c>
      <c r="B4" s="4"/>
      <c r="C4" s="4"/>
      <c r="D4" s="4"/>
      <c r="E4" s="4"/>
      <c r="F4" s="4"/>
      <c r="G4" s="4"/>
    </row>
    <row r="6" spans="1:7" x14ac:dyDescent="0.2">
      <c r="A6" t="s">
        <v>3</v>
      </c>
    </row>
    <row r="7" spans="1:7" x14ac:dyDescent="0.2">
      <c r="A7" t="s">
        <v>4</v>
      </c>
    </row>
    <row r="8" spans="1:7" x14ac:dyDescent="0.2">
      <c r="A8" s="6" t="s">
        <v>5</v>
      </c>
    </row>
    <row r="10" spans="1:7" x14ac:dyDescent="0.2">
      <c r="A10" t="s">
        <v>6</v>
      </c>
      <c r="B10" s="17">
        <v>500</v>
      </c>
      <c r="C10" t="s">
        <v>7</v>
      </c>
    </row>
    <row r="11" spans="1:7" x14ac:dyDescent="0.2">
      <c r="A11" t="s">
        <v>8</v>
      </c>
      <c r="B11" s="17">
        <v>1500</v>
      </c>
      <c r="C11" t="s">
        <v>9</v>
      </c>
    </row>
    <row r="12" spans="1:7" x14ac:dyDescent="0.2">
      <c r="A12" t="s">
        <v>10</v>
      </c>
      <c r="B12" s="17">
        <v>150</v>
      </c>
      <c r="C12" t="s">
        <v>11</v>
      </c>
    </row>
    <row r="14" spans="1:7" x14ac:dyDescent="0.2">
      <c r="A14" t="s">
        <v>12</v>
      </c>
    </row>
    <row r="15" spans="1:7" x14ac:dyDescent="0.2">
      <c r="A15" t="s">
        <v>13</v>
      </c>
    </row>
    <row r="16" spans="1:7" x14ac:dyDescent="0.2">
      <c r="A16" t="s">
        <v>14</v>
      </c>
      <c r="B16" s="17">
        <v>5</v>
      </c>
      <c r="C16" t="s">
        <v>15</v>
      </c>
    </row>
    <row r="17" spans="1:9" x14ac:dyDescent="0.2">
      <c r="A17" t="s">
        <v>16</v>
      </c>
      <c r="B17" s="18">
        <v>1</v>
      </c>
      <c r="C17" t="s">
        <v>17</v>
      </c>
    </row>
    <row r="30" spans="1:9" x14ac:dyDescent="0.2">
      <c r="A30" s="5" t="s">
        <v>18</v>
      </c>
      <c r="B30" s="5"/>
      <c r="C30" s="7"/>
      <c r="D30" s="7"/>
      <c r="E30" s="7"/>
      <c r="F30" s="7"/>
      <c r="G30" s="7"/>
      <c r="H30" s="7"/>
      <c r="I30" s="7"/>
    </row>
    <row r="31" spans="1:9" x14ac:dyDescent="0.2">
      <c r="A31" s="7" t="s">
        <v>19</v>
      </c>
      <c r="B31" s="7"/>
      <c r="C31" s="7"/>
      <c r="D31" s="7"/>
      <c r="E31" s="7"/>
      <c r="F31" s="7"/>
      <c r="G31" s="7"/>
      <c r="H31" s="7"/>
      <c r="I31" s="7"/>
    </row>
    <row r="32" spans="1:9" ht="15.75" x14ac:dyDescent="0.25">
      <c r="A32" s="5" t="s">
        <v>20</v>
      </c>
      <c r="B32" s="9">
        <f>N_est</f>
        <v>1000</v>
      </c>
      <c r="C32" s="7"/>
      <c r="D32" s="7"/>
      <c r="E32" s="7"/>
      <c r="F32" s="7"/>
      <c r="G32" s="7"/>
      <c r="H32" s="7"/>
      <c r="I32" s="7"/>
    </row>
    <row r="33" spans="1:9" ht="15.75" x14ac:dyDescent="0.25">
      <c r="A33" s="5" t="s">
        <v>21</v>
      </c>
      <c r="B33" s="10">
        <f>SQRT(var_N)</f>
        <v>31.622776601683796</v>
      </c>
      <c r="C33" s="7"/>
      <c r="D33" s="7"/>
      <c r="E33" s="7"/>
      <c r="F33" s="7"/>
      <c r="G33" s="7"/>
      <c r="H33" s="7"/>
      <c r="I33" s="7"/>
    </row>
    <row r="34" spans="1:9" x14ac:dyDescent="0.2">
      <c r="B34" s="11" t="s">
        <v>22</v>
      </c>
    </row>
    <row r="55" spans="1:3" ht="13.5" customHeight="1" x14ac:dyDescent="0.2"/>
    <row r="56" spans="1:3" ht="13.5" customHeight="1" x14ac:dyDescent="0.2">
      <c r="A56" s="1" t="s">
        <v>23</v>
      </c>
    </row>
    <row r="57" spans="1:3" ht="13.5" customHeight="1" x14ac:dyDescent="0.2">
      <c r="A57" s="1" t="s">
        <v>24</v>
      </c>
    </row>
    <row r="58" spans="1:3" ht="13.5" customHeight="1" x14ac:dyDescent="0.2">
      <c r="A58" t="s">
        <v>25</v>
      </c>
      <c r="B58">
        <f>-(y_max/-g_0)</f>
        <v>5</v>
      </c>
    </row>
    <row r="59" spans="1:3" ht="13.5" customHeight="1" x14ac:dyDescent="0.2">
      <c r="A59" t="s">
        <v>26</v>
      </c>
      <c r="B59">
        <f>(g_0*y_max)-(y_max^2/(2*b))</f>
        <v>2.5</v>
      </c>
      <c r="C59" t="s">
        <v>27</v>
      </c>
    </row>
    <row r="60" spans="1:3" ht="13.5" customHeight="1" x14ac:dyDescent="0.2">
      <c r="A60" t="s">
        <v>20</v>
      </c>
      <c r="B60">
        <f>A*n/(2*L*tw)</f>
        <v>1000</v>
      </c>
    </row>
    <row r="61" spans="1:3" ht="13.5" customHeight="1" x14ac:dyDescent="0.2"/>
    <row r="62" spans="1:3" ht="13.5" customHeight="1" x14ac:dyDescent="0.2">
      <c r="A62" s="1" t="s">
        <v>28</v>
      </c>
    </row>
    <row r="63" spans="1:3" ht="13.5" customHeight="1" x14ac:dyDescent="0.2">
      <c r="A63" t="s">
        <v>29</v>
      </c>
      <c r="B63">
        <f>2*L*tw/A</f>
        <v>0.5</v>
      </c>
    </row>
    <row r="64" spans="1:3" ht="13.5" customHeight="1" x14ac:dyDescent="0.2">
      <c r="A64" t="s">
        <v>30</v>
      </c>
      <c r="B64">
        <f>1-P</f>
        <v>0.5</v>
      </c>
    </row>
    <row r="65" spans="1:2" ht="13.5" customHeight="1" x14ac:dyDescent="0.2">
      <c r="A65" t="s">
        <v>31</v>
      </c>
      <c r="B65">
        <f>N_est*P*Q*(A/(2*L))^2*(1/tw)^2</f>
        <v>1000.0000000000002</v>
      </c>
    </row>
    <row r="66" spans="1:2" ht="13.5" customHeight="1" x14ac:dyDescent="0.2"/>
    <row r="67" spans="1:2" ht="13.5" customHeight="1" x14ac:dyDescent="0.2"/>
    <row r="68" spans="1:2" ht="13.5" customHeight="1" x14ac:dyDescent="0.2">
      <c r="A68" s="1" t="s">
        <v>32</v>
      </c>
    </row>
    <row r="69" spans="1:2" ht="13.5" customHeight="1" x14ac:dyDescent="0.2">
      <c r="A69" t="s">
        <v>33</v>
      </c>
    </row>
    <row r="70" spans="1:2" ht="13.5" customHeight="1" x14ac:dyDescent="0.2">
      <c r="A70" t="s">
        <v>34</v>
      </c>
      <c r="B70" t="s">
        <v>35</v>
      </c>
    </row>
    <row r="71" spans="1:2" ht="13.5" customHeight="1" x14ac:dyDescent="0.2">
      <c r="A71">
        <v>0</v>
      </c>
      <c r="B71" s="8">
        <f>g_0-A71*(1/b)</f>
        <v>1</v>
      </c>
    </row>
    <row r="72" spans="1:2" ht="13.5" customHeight="1" x14ac:dyDescent="0.2">
      <c r="A72">
        <v>1</v>
      </c>
      <c r="B72" s="8">
        <f>g_0-A72*(1/b)</f>
        <v>0.8</v>
      </c>
    </row>
    <row r="73" spans="1:2" ht="13.5" customHeight="1" x14ac:dyDescent="0.2">
      <c r="A73">
        <v>2</v>
      </c>
      <c r="B73" s="8">
        <f t="shared" ref="B73:B81" si="0">g_0-A73*(1/b)</f>
        <v>0.6</v>
      </c>
    </row>
    <row r="74" spans="1:2" ht="13.5" customHeight="1" x14ac:dyDescent="0.2">
      <c r="A74">
        <v>3</v>
      </c>
      <c r="B74" s="8">
        <f t="shared" si="0"/>
        <v>0.39999999999999991</v>
      </c>
    </row>
    <row r="75" spans="1:2" ht="13.5" customHeight="1" x14ac:dyDescent="0.2">
      <c r="A75">
        <v>4</v>
      </c>
      <c r="B75" s="8">
        <f t="shared" si="0"/>
        <v>0.19999999999999996</v>
      </c>
    </row>
    <row r="76" spans="1:2" ht="13.5" customHeight="1" x14ac:dyDescent="0.2">
      <c r="A76">
        <v>5</v>
      </c>
      <c r="B76" s="8">
        <f t="shared" si="0"/>
        <v>0</v>
      </c>
    </row>
    <row r="77" spans="1:2" ht="13.5" customHeight="1" x14ac:dyDescent="0.2">
      <c r="A77">
        <v>6</v>
      </c>
      <c r="B77" s="8">
        <f t="shared" si="0"/>
        <v>-0.20000000000000018</v>
      </c>
    </row>
    <row r="78" spans="1:2" ht="13.5" customHeight="1" x14ac:dyDescent="0.2">
      <c r="A78">
        <v>7</v>
      </c>
      <c r="B78" s="8">
        <f t="shared" si="0"/>
        <v>-0.40000000000000013</v>
      </c>
    </row>
    <row r="79" spans="1:2" ht="13.5" customHeight="1" x14ac:dyDescent="0.2">
      <c r="A79">
        <v>8</v>
      </c>
      <c r="B79" s="8">
        <f t="shared" si="0"/>
        <v>-0.60000000000000009</v>
      </c>
    </row>
    <row r="80" spans="1:2" ht="13.5" customHeight="1" x14ac:dyDescent="0.2">
      <c r="A80">
        <v>9</v>
      </c>
      <c r="B80" s="8">
        <f t="shared" si="0"/>
        <v>-0.8</v>
      </c>
    </row>
    <row r="81" spans="1:2" ht="13.5" customHeight="1" x14ac:dyDescent="0.2">
      <c r="A81">
        <v>10</v>
      </c>
      <c r="B81" s="8">
        <f t="shared" si="0"/>
        <v>-1</v>
      </c>
    </row>
    <row r="82" spans="1:2" ht="13.5" customHeight="1" x14ac:dyDescent="0.2"/>
  </sheetData>
  <sheetProtection password="CDC2" sheet="1" objects="1" scenarios="1"/>
  <phoneticPr fontId="5" type="noConversion"/>
  <pageMargins left="0.75" right="0.75" top="1" bottom="1" header="0.5" footer="0.5"/>
  <pageSetup paperSize="9" orientation="portrait" r:id="rId1"/>
  <headerFooter alignWithMargins="0">
    <oddHeader>&amp;LBio-3553&amp;C&amp;F &amp;A&amp;RJdS// NFH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/>
  </sheetViews>
  <sheetFormatPr defaultColWidth="9.140625" defaultRowHeight="12.75" x14ac:dyDescent="0.2"/>
  <cols>
    <col min="1" max="1" width="12.85546875" customWidth="1"/>
  </cols>
  <sheetData>
    <row r="1" spans="1:9" ht="18" x14ac:dyDescent="0.25">
      <c r="A1" s="2" t="s">
        <v>36</v>
      </c>
    </row>
    <row r="2" spans="1:9" x14ac:dyDescent="0.2">
      <c r="A2" s="1"/>
    </row>
    <row r="3" spans="1:9" x14ac:dyDescent="0.2">
      <c r="A3" s="3" t="s">
        <v>1</v>
      </c>
      <c r="B3" s="4"/>
      <c r="C3" s="4"/>
      <c r="D3" s="4"/>
      <c r="E3" s="4"/>
      <c r="F3" s="4"/>
      <c r="G3" s="4"/>
    </row>
    <row r="4" spans="1:9" x14ac:dyDescent="0.2">
      <c r="A4" s="3" t="s">
        <v>2</v>
      </c>
      <c r="B4" s="4"/>
      <c r="C4" s="4"/>
      <c r="D4" s="4"/>
      <c r="E4" s="4"/>
      <c r="F4" s="4"/>
      <c r="G4" s="4"/>
    </row>
    <row r="6" spans="1:9" x14ac:dyDescent="0.2">
      <c r="A6" t="s">
        <v>37</v>
      </c>
    </row>
    <row r="7" spans="1:9" x14ac:dyDescent="0.2">
      <c r="A7" t="s">
        <v>38</v>
      </c>
    </row>
    <row r="8" spans="1:9" x14ac:dyDescent="0.2">
      <c r="A8" t="s">
        <v>39</v>
      </c>
    </row>
    <row r="10" spans="1:9" x14ac:dyDescent="0.2">
      <c r="A10" t="s">
        <v>40</v>
      </c>
      <c r="B10" s="16">
        <v>50</v>
      </c>
      <c r="C10" t="s">
        <v>41</v>
      </c>
    </row>
    <row r="11" spans="1:9" x14ac:dyDescent="0.2">
      <c r="A11" t="s">
        <v>42</v>
      </c>
      <c r="B11" s="16">
        <v>500</v>
      </c>
      <c r="C11" t="s">
        <v>43</v>
      </c>
    </row>
    <row r="12" spans="1:9" x14ac:dyDescent="0.2">
      <c r="A12" t="s">
        <v>44</v>
      </c>
      <c r="B12" s="16">
        <v>10</v>
      </c>
      <c r="C12" t="s">
        <v>45</v>
      </c>
    </row>
    <row r="15" spans="1:9" x14ac:dyDescent="0.2">
      <c r="A15" s="7" t="s">
        <v>46</v>
      </c>
      <c r="B15" s="13">
        <f>stock</f>
        <v>2500</v>
      </c>
      <c r="C15" s="12" t="s">
        <v>47</v>
      </c>
      <c r="D15" s="7"/>
      <c r="E15" s="7"/>
      <c r="F15" s="7"/>
      <c r="G15" s="7"/>
      <c r="H15" s="7"/>
      <c r="I15" s="7"/>
    </row>
    <row r="16" spans="1:9" x14ac:dyDescent="0.2">
      <c r="A16" s="7" t="s">
        <v>48</v>
      </c>
      <c r="B16" s="13">
        <f>sd_stock</f>
        <v>782.62379212492635</v>
      </c>
      <c r="C16" s="12" t="s">
        <v>49</v>
      </c>
      <c r="D16" s="7"/>
      <c r="E16" s="7"/>
      <c r="F16" s="7"/>
      <c r="G16" s="7"/>
      <c r="H16" s="7"/>
      <c r="I16" s="7"/>
    </row>
    <row r="18" spans="1:2" x14ac:dyDescent="0.2">
      <c r="B18" s="11" t="s">
        <v>22</v>
      </c>
    </row>
    <row r="20" spans="1:2" x14ac:dyDescent="0.2">
      <c r="A20" t="s">
        <v>79</v>
      </c>
    </row>
    <row r="21" spans="1:2" x14ac:dyDescent="0.2">
      <c r="A21" t="s">
        <v>80</v>
      </c>
    </row>
    <row r="22" spans="1:2" x14ac:dyDescent="0.2">
      <c r="A22" t="s">
        <v>81</v>
      </c>
    </row>
    <row r="135" spans="1:2" x14ac:dyDescent="0.2">
      <c r="A135" t="s">
        <v>23</v>
      </c>
    </row>
    <row r="137" spans="1:2" x14ac:dyDescent="0.2">
      <c r="A137" t="s">
        <v>50</v>
      </c>
      <c r="B137">
        <f>(Tagged*Catch)/Recapture</f>
        <v>2500</v>
      </c>
    </row>
    <row r="138" spans="1:2" x14ac:dyDescent="0.2">
      <c r="A138" t="s">
        <v>51</v>
      </c>
      <c r="B138" s="8">
        <f>SQRT(Tagged^2*Catch*(Catch-Recapture)/Recapture^3)</f>
        <v>782.62379212492635</v>
      </c>
    </row>
  </sheetData>
  <sheetProtection password="DA71" sheet="1" objects="1" scenarios="1"/>
  <phoneticPr fontId="5" type="noConversion"/>
  <pageMargins left="0.75" right="0.75" top="1" bottom="1" header="0.5" footer="0.5"/>
  <pageSetup paperSize="9" orientation="portrait" r:id="rId1"/>
  <headerFooter alignWithMargins="0">
    <oddHeader>&amp;L&amp;F  &amp;A&amp;RJdS  // NFH  // Bio-3553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8"/>
  <sheetViews>
    <sheetView workbookViewId="0"/>
  </sheetViews>
  <sheetFormatPr defaultColWidth="9.140625" defaultRowHeight="12.75" x14ac:dyDescent="0.2"/>
  <cols>
    <col min="1" max="1" width="7.28515625" style="20" customWidth="1"/>
    <col min="2" max="3" width="8" style="20" customWidth="1"/>
    <col min="4" max="4" width="9.140625" style="20"/>
    <col min="5" max="5" width="11.140625" style="20" customWidth="1"/>
    <col min="6" max="6" width="11.28515625" style="20" customWidth="1"/>
    <col min="7" max="16384" width="9.140625" style="20"/>
  </cols>
  <sheetData>
    <row r="1" spans="1:9" ht="18" x14ac:dyDescent="0.25">
      <c r="A1" s="19" t="s">
        <v>52</v>
      </c>
      <c r="I1" s="20" t="s">
        <v>78</v>
      </c>
    </row>
    <row r="3" spans="1:9" x14ac:dyDescent="0.2">
      <c r="A3" s="21" t="s">
        <v>1</v>
      </c>
      <c r="B3" s="22"/>
      <c r="C3" s="22"/>
      <c r="D3" s="22"/>
      <c r="E3" s="22"/>
      <c r="F3" s="22"/>
      <c r="G3" s="22"/>
    </row>
    <row r="4" spans="1:9" x14ac:dyDescent="0.2">
      <c r="A4" s="21" t="s">
        <v>2</v>
      </c>
      <c r="B4" s="22"/>
      <c r="C4" s="22"/>
      <c r="D4" s="22"/>
      <c r="E4" s="22"/>
      <c r="F4" s="22"/>
      <c r="G4" s="22"/>
    </row>
    <row r="6" spans="1:9" x14ac:dyDescent="0.2">
      <c r="B6" s="23" t="s">
        <v>42</v>
      </c>
      <c r="C6" s="23" t="s">
        <v>53</v>
      </c>
    </row>
    <row r="7" spans="1:9" s="24" customFormat="1" ht="27" customHeight="1" x14ac:dyDescent="0.2">
      <c r="B7" s="25" t="s">
        <v>100</v>
      </c>
      <c r="C7" s="26" t="s">
        <v>54</v>
      </c>
      <c r="E7" s="27" t="s">
        <v>55</v>
      </c>
      <c r="F7" s="27" t="s">
        <v>56</v>
      </c>
      <c r="G7" s="20"/>
    </row>
    <row r="8" spans="1:9" x14ac:dyDescent="0.2">
      <c r="A8" s="28" t="s">
        <v>57</v>
      </c>
      <c r="B8" s="14">
        <v>1717.4862230909002</v>
      </c>
      <c r="C8" s="15">
        <v>1.0577889067269581</v>
      </c>
      <c r="E8" s="31">
        <f>IF(B8&gt;0,B8,"")</f>
        <v>1717.4862230909002</v>
      </c>
      <c r="F8" s="31">
        <f t="shared" ref="F8:F19" si="0">IF(C8&gt;0,B8/C8,"")</f>
        <v>1623.6568678009653</v>
      </c>
    </row>
    <row r="9" spans="1:9" x14ac:dyDescent="0.2">
      <c r="A9" s="28" t="s">
        <v>58</v>
      </c>
      <c r="B9" s="14">
        <v>1144.9908153939336</v>
      </c>
      <c r="C9" s="15">
        <v>0.88827866015375634</v>
      </c>
      <c r="E9" s="31">
        <f>IF(B9&gt;0,B9+E8,"")</f>
        <v>2862.4770384848339</v>
      </c>
      <c r="F9" s="31">
        <f t="shared" si="0"/>
        <v>1288.999574970924</v>
      </c>
    </row>
    <row r="10" spans="1:9" x14ac:dyDescent="0.2">
      <c r="A10" s="28" t="s">
        <v>59</v>
      </c>
      <c r="B10" s="14">
        <v>1049.5749141111055</v>
      </c>
      <c r="C10" s="15">
        <v>0.80588704779214582</v>
      </c>
      <c r="E10" s="31">
        <f t="shared" ref="E10:E19" si="1">IF(B10&gt;0,B10+E9,"")</f>
        <v>3912.0519525959394</v>
      </c>
      <c r="F10" s="31">
        <f t="shared" si="0"/>
        <v>1302.3846418509652</v>
      </c>
    </row>
    <row r="11" spans="1:9" x14ac:dyDescent="0.2">
      <c r="A11" s="28" t="s">
        <v>60</v>
      </c>
      <c r="B11" s="14">
        <v>858.74311154545057</v>
      </c>
      <c r="C11" s="15">
        <v>0.83022056874604444</v>
      </c>
      <c r="E11" s="31">
        <f t="shared" si="1"/>
        <v>4770.79506414139</v>
      </c>
      <c r="F11" s="31">
        <f t="shared" si="0"/>
        <v>1034.3553796101273</v>
      </c>
    </row>
    <row r="12" spans="1:9" x14ac:dyDescent="0.2">
      <c r="A12" s="28" t="s">
        <v>61</v>
      </c>
      <c r="B12" s="14">
        <v>572.49540769696705</v>
      </c>
      <c r="C12" s="15">
        <v>0.57293553032401479</v>
      </c>
      <c r="E12" s="31">
        <f t="shared" si="1"/>
        <v>5343.290471838357</v>
      </c>
      <c r="F12" s="31">
        <f t="shared" si="0"/>
        <v>999.23181125318092</v>
      </c>
    </row>
    <row r="13" spans="1:9" x14ac:dyDescent="0.2">
      <c r="A13" s="28" t="s">
        <v>62</v>
      </c>
      <c r="B13" s="14">
        <v>381.66360513131076</v>
      </c>
      <c r="C13" s="15">
        <v>0.54032572775233656</v>
      </c>
      <c r="E13" s="31">
        <f t="shared" si="1"/>
        <v>5724.9540769696678</v>
      </c>
      <c r="F13" s="31">
        <f t="shared" si="0"/>
        <v>706.35837889668267</v>
      </c>
    </row>
    <row r="14" spans="1:9" x14ac:dyDescent="0.2">
      <c r="A14" s="28" t="s">
        <v>63</v>
      </c>
      <c r="B14" s="14">
        <v>381.66360513131167</v>
      </c>
      <c r="C14" s="15">
        <v>0.51349350290352935</v>
      </c>
      <c r="E14" s="31">
        <f t="shared" si="1"/>
        <v>6106.6176821009794</v>
      </c>
      <c r="F14" s="31">
        <f t="shared" si="0"/>
        <v>743.26861581151354</v>
      </c>
    </row>
    <row r="15" spans="1:9" x14ac:dyDescent="0.2">
      <c r="A15" s="28" t="s">
        <v>64</v>
      </c>
      <c r="B15" s="14">
        <v>572.49540769696614</v>
      </c>
      <c r="C15" s="15">
        <v>1.0185247692068735</v>
      </c>
      <c r="E15" s="31">
        <f t="shared" si="1"/>
        <v>6679.1130897979456</v>
      </c>
      <c r="F15" s="31">
        <f t="shared" si="0"/>
        <v>562.08295075903652</v>
      </c>
    </row>
    <row r="16" spans="1:9" x14ac:dyDescent="0.2">
      <c r="A16" s="28" t="s">
        <v>65</v>
      </c>
      <c r="B16" s="14">
        <v>190.83180256565538</v>
      </c>
      <c r="C16" s="15">
        <v>0.31912987020649219</v>
      </c>
      <c r="E16" s="31">
        <f t="shared" si="1"/>
        <v>6869.944892363601</v>
      </c>
      <c r="F16" s="31">
        <f t="shared" si="0"/>
        <v>597.97537109947791</v>
      </c>
    </row>
    <row r="17" spans="1:9" x14ac:dyDescent="0.2">
      <c r="A17" s="28" t="s">
        <v>66</v>
      </c>
      <c r="B17" s="14">
        <v>381.66360513131167</v>
      </c>
      <c r="C17" s="15">
        <v>0.69911571346915813</v>
      </c>
      <c r="E17" s="31">
        <f t="shared" si="1"/>
        <v>7251.6084974949126</v>
      </c>
      <c r="F17" s="31">
        <f t="shared" si="0"/>
        <v>545.9233683039638</v>
      </c>
    </row>
    <row r="18" spans="1:9" x14ac:dyDescent="0.2">
      <c r="A18" s="28" t="s">
        <v>67</v>
      </c>
      <c r="B18" s="14">
        <v>477.07950641413936</v>
      </c>
      <c r="C18" s="15">
        <v>1.316772277127253</v>
      </c>
      <c r="E18" s="31">
        <f t="shared" si="1"/>
        <v>7728.688003909052</v>
      </c>
      <c r="F18" s="31">
        <f t="shared" si="0"/>
        <v>362.3098045889634</v>
      </c>
    </row>
    <row r="19" spans="1:9" x14ac:dyDescent="0.2">
      <c r="A19" s="28" t="s">
        <v>68</v>
      </c>
      <c r="B19" s="14">
        <v>190.83180256565538</v>
      </c>
      <c r="C19" s="15">
        <v>0.62977303939715212</v>
      </c>
      <c r="E19" s="31">
        <f t="shared" si="1"/>
        <v>7919.5198064747074</v>
      </c>
      <c r="F19" s="31">
        <f t="shared" si="0"/>
        <v>303.01678640979679</v>
      </c>
    </row>
    <row r="22" spans="1:9" x14ac:dyDescent="0.2">
      <c r="A22" s="32" t="s">
        <v>69</v>
      </c>
      <c r="B22" s="33">
        <f>Noo</f>
        <v>9621.8750850705619</v>
      </c>
      <c r="C22" s="32"/>
      <c r="D22" s="32" t="s">
        <v>82</v>
      </c>
      <c r="E22" s="32"/>
      <c r="F22" s="32"/>
      <c r="G22" s="32"/>
      <c r="H22" s="32"/>
      <c r="I22" s="32"/>
    </row>
    <row r="23" spans="1:9" x14ac:dyDescent="0.2">
      <c r="A23" s="34" t="s">
        <v>93</v>
      </c>
      <c r="B23" s="35">
        <f>Noo_95</f>
        <v>8485.9938972088949</v>
      </c>
      <c r="C23" s="34"/>
      <c r="D23" s="34" t="s">
        <v>96</v>
      </c>
      <c r="E23" s="34"/>
      <c r="F23" s="34"/>
      <c r="G23" s="34"/>
      <c r="H23" s="34"/>
      <c r="I23" s="34"/>
    </row>
    <row r="24" spans="1:9" x14ac:dyDescent="0.2">
      <c r="A24" s="34" t="s">
        <v>94</v>
      </c>
      <c r="B24" s="35">
        <f>Noo__95</f>
        <v>10757.756272932229</v>
      </c>
      <c r="C24" s="34"/>
      <c r="D24" s="34" t="s">
        <v>97</v>
      </c>
      <c r="E24" s="34"/>
      <c r="F24" s="34"/>
      <c r="G24" s="34"/>
      <c r="H24" s="34"/>
      <c r="I24" s="34"/>
    </row>
    <row r="25" spans="1:9" ht="14.25" x14ac:dyDescent="0.2">
      <c r="A25" s="32" t="s">
        <v>70</v>
      </c>
      <c r="B25" s="36">
        <f>rsq</f>
        <v>0.96756484558001743</v>
      </c>
      <c r="C25" s="32"/>
      <c r="D25" s="32" t="s">
        <v>71</v>
      </c>
      <c r="E25" s="32"/>
      <c r="F25" s="32"/>
      <c r="G25" s="32"/>
      <c r="H25" s="32"/>
      <c r="I25" s="32"/>
    </row>
    <row r="27" spans="1:9" x14ac:dyDescent="0.2">
      <c r="A27" s="20" t="s">
        <v>98</v>
      </c>
    </row>
    <row r="28" spans="1:9" x14ac:dyDescent="0.2">
      <c r="A28" s="20" t="s">
        <v>99</v>
      </c>
    </row>
    <row r="30" spans="1:9" x14ac:dyDescent="0.2">
      <c r="B30" s="23" t="s">
        <v>42</v>
      </c>
      <c r="C30" s="23" t="s">
        <v>53</v>
      </c>
    </row>
    <row r="31" spans="1:9" ht="25.5" x14ac:dyDescent="0.2">
      <c r="A31" s="24"/>
      <c r="B31" s="25" t="s">
        <v>100</v>
      </c>
      <c r="C31" s="26" t="s">
        <v>54</v>
      </c>
    </row>
    <row r="32" spans="1:9" x14ac:dyDescent="0.2">
      <c r="A32" s="28" t="s">
        <v>57</v>
      </c>
      <c r="B32" s="29">
        <v>2100</v>
      </c>
      <c r="C32" s="30">
        <v>1.0577889067269581</v>
      </c>
    </row>
    <row r="33" spans="1:3" x14ac:dyDescent="0.2">
      <c r="A33" s="28" t="s">
        <v>58</v>
      </c>
      <c r="B33" s="29">
        <v>2000</v>
      </c>
      <c r="C33" s="30">
        <v>0.88827866015375634</v>
      </c>
    </row>
    <row r="34" spans="1:3" x14ac:dyDescent="0.2">
      <c r="A34" s="28" t="s">
        <v>59</v>
      </c>
      <c r="B34" s="29">
        <v>1500</v>
      </c>
      <c r="C34" s="30">
        <v>0.80588704779214582</v>
      </c>
    </row>
    <row r="35" spans="1:3" x14ac:dyDescent="0.2">
      <c r="A35" s="28" t="s">
        <v>60</v>
      </c>
      <c r="B35" s="29">
        <v>1400</v>
      </c>
      <c r="C35" s="30">
        <v>0.83022056874604444</v>
      </c>
    </row>
    <row r="36" spans="1:3" x14ac:dyDescent="0.2">
      <c r="A36" s="28" t="s">
        <v>61</v>
      </c>
      <c r="B36" s="29">
        <v>1300</v>
      </c>
      <c r="C36" s="30">
        <v>0.57293553032401479</v>
      </c>
    </row>
    <row r="37" spans="1:3" x14ac:dyDescent="0.2">
      <c r="A37" s="28" t="s">
        <v>62</v>
      </c>
      <c r="B37" s="29">
        <v>1200</v>
      </c>
      <c r="C37" s="30">
        <v>0.54032572775233656</v>
      </c>
    </row>
    <row r="38" spans="1:3" x14ac:dyDescent="0.2">
      <c r="A38" s="28" t="s">
        <v>63</v>
      </c>
      <c r="B38" s="29">
        <v>1100</v>
      </c>
      <c r="C38" s="30">
        <v>0.51349350290352935</v>
      </c>
    </row>
    <row r="39" spans="1:3" x14ac:dyDescent="0.2">
      <c r="A39" s="28" t="s">
        <v>64</v>
      </c>
      <c r="B39" s="29">
        <v>1200</v>
      </c>
      <c r="C39" s="30">
        <v>1.0185247692068735</v>
      </c>
    </row>
    <row r="40" spans="1:3" x14ac:dyDescent="0.2">
      <c r="A40" s="28" t="s">
        <v>65</v>
      </c>
      <c r="B40" s="29">
        <v>600</v>
      </c>
      <c r="C40" s="30">
        <v>0.31912987020649219</v>
      </c>
    </row>
    <row r="41" spans="1:3" x14ac:dyDescent="0.2">
      <c r="A41" s="28" t="s">
        <v>66</v>
      </c>
      <c r="B41" s="29">
        <v>900</v>
      </c>
      <c r="C41" s="30">
        <v>0.69911571346915813</v>
      </c>
    </row>
    <row r="42" spans="1:3" x14ac:dyDescent="0.2">
      <c r="A42" s="28" t="s">
        <v>67</v>
      </c>
      <c r="B42" s="29">
        <v>900</v>
      </c>
      <c r="C42" s="30">
        <v>1.316772277127253</v>
      </c>
    </row>
    <row r="43" spans="1:3" x14ac:dyDescent="0.2">
      <c r="A43" s="28" t="s">
        <v>68</v>
      </c>
      <c r="B43" s="29">
        <v>600</v>
      </c>
      <c r="C43" s="30">
        <v>0.62977303939715212</v>
      </c>
    </row>
    <row r="88" spans="1:2" x14ac:dyDescent="0.2">
      <c r="A88" s="20">
        <v>8.98</v>
      </c>
      <c r="B88" s="20">
        <v>0</v>
      </c>
    </row>
    <row r="89" spans="1:2" x14ac:dyDescent="0.2">
      <c r="A89" s="20">
        <v>8.14</v>
      </c>
      <c r="B89" s="20">
        <v>12</v>
      </c>
    </row>
    <row r="90" spans="1:2" x14ac:dyDescent="0.2">
      <c r="A90" s="20">
        <v>6.67</v>
      </c>
      <c r="B90" s="20">
        <v>29.5</v>
      </c>
    </row>
    <row r="91" spans="1:2" x14ac:dyDescent="0.2">
      <c r="A91" s="20">
        <v>6.08</v>
      </c>
      <c r="B91" s="20">
        <v>43</v>
      </c>
    </row>
    <row r="92" spans="1:2" x14ac:dyDescent="0.2">
      <c r="A92" s="20">
        <v>5.9</v>
      </c>
      <c r="B92" s="20">
        <v>53</v>
      </c>
    </row>
    <row r="93" spans="1:2" x14ac:dyDescent="0.2">
      <c r="A93" s="20">
        <v>5.83</v>
      </c>
      <c r="B93" s="20">
        <v>62.5</v>
      </c>
    </row>
    <row r="94" spans="1:2" x14ac:dyDescent="0.2">
      <c r="A94" s="20">
        <v>4.68</v>
      </c>
      <c r="B94" s="20">
        <v>75.5</v>
      </c>
    </row>
    <row r="95" spans="1:2" x14ac:dyDescent="0.2">
      <c r="A95" s="20">
        <v>4.2</v>
      </c>
      <c r="B95" s="20">
        <v>85</v>
      </c>
    </row>
    <row r="96" spans="1:2" x14ac:dyDescent="0.2">
      <c r="A96" s="20">
        <v>3.72</v>
      </c>
      <c r="B96" s="20">
        <v>93</v>
      </c>
    </row>
    <row r="99" spans="1:2" x14ac:dyDescent="0.2">
      <c r="A99" s="20">
        <f>INTERCEPT(A88:A96,B88:B96)</f>
        <v>8.7040273046678927</v>
      </c>
    </row>
    <row r="100" spans="1:2" x14ac:dyDescent="0.2">
      <c r="A100" s="20">
        <f>SLOPE(A88:A96,B88:B96)</f>
        <v>-5.3222151581060723E-2</v>
      </c>
    </row>
    <row r="101" spans="1:2" x14ac:dyDescent="0.2">
      <c r="A101" s="20">
        <f>STEYX(A88:A96,B88:B96)</f>
        <v>0.2966630641604015</v>
      </c>
      <c r="B101" s="20">
        <f>A101^2</f>
        <v>8.8008973637038496E-2</v>
      </c>
    </row>
    <row r="132" spans="1:2" x14ac:dyDescent="0.2">
      <c r="A132" s="20" t="s">
        <v>72</v>
      </c>
    </row>
    <row r="134" spans="1:2" x14ac:dyDescent="0.2">
      <c r="A134" s="20" t="s">
        <v>73</v>
      </c>
    </row>
    <row r="135" spans="1:2" x14ac:dyDescent="0.2">
      <c r="A135" s="20" t="s">
        <v>74</v>
      </c>
      <c r="B135" s="20">
        <f>LINEST(F8:F19,E8:E19)</f>
        <v>-0.20729522894027352</v>
      </c>
    </row>
    <row r="136" spans="1:2" x14ac:dyDescent="0.2">
      <c r="A136" s="20" t="s">
        <v>75</v>
      </c>
      <c r="B136" s="20">
        <f>INTERCEPT(F8:F19,E8:E19)</f>
        <v>1994.568798594416</v>
      </c>
    </row>
    <row r="137" spans="1:2" x14ac:dyDescent="0.2">
      <c r="A137" s="20" t="s">
        <v>76</v>
      </c>
      <c r="B137" s="31">
        <f>-B136/B135</f>
        <v>9621.8750850705619</v>
      </c>
    </row>
    <row r="138" spans="1:2" x14ac:dyDescent="0.2">
      <c r="A138" s="20" t="s">
        <v>77</v>
      </c>
      <c r="B138" s="20">
        <f>RSQ(F8:F19,E8:E19)</f>
        <v>0.96756484558001743</v>
      </c>
    </row>
    <row r="139" spans="1:2" x14ac:dyDescent="0.2">
      <c r="A139" s="20" t="s">
        <v>83</v>
      </c>
      <c r="B139" s="20">
        <f>COUNT(E8:E19)</f>
        <v>12</v>
      </c>
    </row>
    <row r="140" spans="1:2" x14ac:dyDescent="0.2">
      <c r="A140" s="20" t="s">
        <v>84</v>
      </c>
      <c r="B140" s="31">
        <f>AVERAGE(E8:E19)</f>
        <v>5573.8788999385242</v>
      </c>
    </row>
    <row r="141" spans="1:2" x14ac:dyDescent="0.2">
      <c r="A141" s="20" t="s">
        <v>85</v>
      </c>
      <c r="B141" s="20">
        <f t="array" ref="B141">SUM(($E$8:$E$19-$B$140)^2)</f>
        <v>41851222.135521658</v>
      </c>
    </row>
    <row r="142" spans="1:2" x14ac:dyDescent="0.2">
      <c r="A142" s="20" t="s">
        <v>87</v>
      </c>
      <c r="B142" s="31">
        <f>AVERAGE(F8:F19)</f>
        <v>839.13029594629995</v>
      </c>
    </row>
    <row r="143" spans="1:2" x14ac:dyDescent="0.2">
      <c r="A143" s="20" t="s">
        <v>88</v>
      </c>
      <c r="B143" s="20">
        <f t="array" ref="B143">SUM(($F$8:$F$19-$B$142)^2)</f>
        <v>1858688.7790825735</v>
      </c>
    </row>
    <row r="144" spans="1:2" x14ac:dyDescent="0.2">
      <c r="A144" s="20" t="s">
        <v>89</v>
      </c>
      <c r="B144" s="20">
        <f>(1-SQRT(rsq))*B143</f>
        <v>30391.901713024028</v>
      </c>
    </row>
    <row r="145" spans="1:3" x14ac:dyDescent="0.2">
      <c r="A145" s="20" t="s">
        <v>86</v>
      </c>
      <c r="B145" s="20">
        <f>(B144/B135^2)*(1/B139+((Noo-B140)^2/B141))</f>
        <v>335856.43298053741</v>
      </c>
    </row>
    <row r="146" spans="1:3" x14ac:dyDescent="0.2">
      <c r="A146" s="20" t="s">
        <v>90</v>
      </c>
      <c r="B146" s="31">
        <f>SQRT(B145)</f>
        <v>579.53121829676911</v>
      </c>
    </row>
    <row r="147" spans="1:3" x14ac:dyDescent="0.2">
      <c r="A147" s="20" t="s">
        <v>95</v>
      </c>
      <c r="B147" s="37">
        <f>Noo+1.96*$B$146</f>
        <v>10757.756272932229</v>
      </c>
      <c r="C147" s="20" t="s">
        <v>92</v>
      </c>
    </row>
    <row r="148" spans="1:3" x14ac:dyDescent="0.2">
      <c r="A148" s="20" t="s">
        <v>91</v>
      </c>
      <c r="B148" s="38">
        <f>Noo-1.96*$B$146</f>
        <v>8485.9938972088949</v>
      </c>
    </row>
  </sheetData>
  <sheetProtection password="DA71" sheet="1" objects="1" scenarios="1"/>
  <phoneticPr fontId="5" type="noConversion"/>
  <pageMargins left="0.75" right="0.75" top="1" bottom="1" header="0.5" footer="0.5"/>
  <pageSetup paperSize="9" orientation="portrait" r:id="rId1"/>
  <headerFooter alignWithMargins="0">
    <oddHeader>&amp;LBio-3553&amp;C&amp;F &amp;A&amp;RJdS// IFM // NFH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4" sqref="A4"/>
    </sheetView>
  </sheetViews>
  <sheetFormatPr defaultColWidth="9.140625" defaultRowHeight="12.75" x14ac:dyDescent="0.2"/>
  <sheetData>
    <row r="1" spans="1:5" x14ac:dyDescent="0.2">
      <c r="A1" s="51" t="s">
        <v>117</v>
      </c>
    </row>
    <row r="2" spans="1:5" x14ac:dyDescent="0.2">
      <c r="A2" s="52" t="s">
        <v>118</v>
      </c>
    </row>
    <row r="3" spans="1:5" x14ac:dyDescent="0.2">
      <c r="A3" s="52"/>
    </row>
    <row r="4" spans="1:5" x14ac:dyDescent="0.2">
      <c r="A4" s="53" t="s">
        <v>121</v>
      </c>
    </row>
    <row r="5" spans="1:5" x14ac:dyDescent="0.2">
      <c r="A5" s="55" t="s">
        <v>120</v>
      </c>
      <c r="B5" s="56"/>
      <c r="C5" s="56"/>
      <c r="D5" s="56"/>
      <c r="E5" s="56"/>
    </row>
    <row r="6" spans="1:5" x14ac:dyDescent="0.2">
      <c r="A6" s="52"/>
    </row>
    <row r="8" spans="1:5" x14ac:dyDescent="0.2">
      <c r="A8" s="54" t="s">
        <v>119</v>
      </c>
    </row>
  </sheetData>
  <phoneticPr fontId="5" type="noConversion"/>
  <hyperlinks>
    <hyperlink ref="A8" r:id="rId1" display="http://creativecommons.org/licenses/by/4.0/"/>
    <hyperlink ref="A5" r:id="rId2" display="http://dx.doi.org/10.7557/8.3514"/>
  </hyperlinks>
  <pageMargins left="0.75" right="0.75" top="1" bottom="1" header="0.5" footer="0.5"/>
  <headerFooter alignWithMargins="0">
    <oddHeader>&amp;A</oddHeader>
    <oddFooter>Page &amp;P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2.75" x14ac:dyDescent="0.2"/>
  <sheetData/>
  <phoneticPr fontId="5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20</vt:i4>
      </vt:variant>
    </vt:vector>
  </HeadingPairs>
  <TitlesOfParts>
    <vt:vector size="29" baseType="lpstr">
      <vt:lpstr>Info</vt:lpstr>
      <vt:lpstr>Distance sampling</vt:lpstr>
      <vt:lpstr>Mark-recapture</vt:lpstr>
      <vt:lpstr>Depletion</vt:lpstr>
      <vt:lpstr>License &amp; Reference</vt:lpstr>
      <vt:lpstr>Sheet13</vt:lpstr>
      <vt:lpstr>Sheet14</vt:lpstr>
      <vt:lpstr>Sheet15</vt:lpstr>
      <vt:lpstr>Sheet16</vt:lpstr>
      <vt:lpstr>A</vt:lpstr>
      <vt:lpstr>b</vt:lpstr>
      <vt:lpstr>Catch</vt:lpstr>
      <vt:lpstr>g_0</vt:lpstr>
      <vt:lpstr>L</vt:lpstr>
      <vt:lpstr>n</vt:lpstr>
      <vt:lpstr>N_est</vt:lpstr>
      <vt:lpstr>Noo</vt:lpstr>
      <vt:lpstr>Noo__95</vt:lpstr>
      <vt:lpstr>Noo_95</vt:lpstr>
      <vt:lpstr>P</vt:lpstr>
      <vt:lpstr>Q</vt:lpstr>
      <vt:lpstr>Recapture</vt:lpstr>
      <vt:lpstr>rsq</vt:lpstr>
      <vt:lpstr>sd_stock</vt:lpstr>
      <vt:lpstr>stock</vt:lpstr>
      <vt:lpstr>Tagged</vt:lpstr>
      <vt:lpstr>tw</vt:lpstr>
      <vt:lpstr>var_N</vt:lpstr>
      <vt:lpstr>y_max</vt:lpstr>
    </vt:vector>
  </TitlesOfParts>
  <Company>NFH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Santos</dc:creator>
  <cp:lastModifiedBy>Ekanger Aysa Arylova</cp:lastModifiedBy>
  <cp:lastPrinted>2004-11-23T16:56:26Z</cp:lastPrinted>
  <dcterms:created xsi:type="dcterms:W3CDTF">1998-10-28T22:34:14Z</dcterms:created>
  <dcterms:modified xsi:type="dcterms:W3CDTF">2015-09-22T08:44:45Z</dcterms:modified>
</cp:coreProperties>
</file>