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embeddings/oleObject1.bin" ContentType="application/vnd.openxmlformats-officedocument.oleObject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homer.uit.no\aaa024\My Documents\Septentrio\Santos sin bok\FISH IT\"/>
    </mc:Choice>
  </mc:AlternateContent>
  <bookViews>
    <workbookView xWindow="0" yWindow="0" windowWidth="28800" windowHeight="14235"/>
  </bookViews>
  <sheets>
    <sheet name="Introduction" sheetId="10" r:id="rId1"/>
    <sheet name="Intro" sheetId="1" r:id="rId2"/>
    <sheet name="Interface" sheetId="3" r:id="rId3"/>
    <sheet name="Design" sheetId="7" r:id="rId4"/>
    <sheet name="License &amp; Reference" sheetId="8" r:id="rId5"/>
    <sheet name="Sheet3" sheetId="9" r:id="rId6"/>
    <sheet name="motor" sheetId="2" state="hidden" r:id="rId7"/>
  </sheets>
  <definedNames>
    <definedName name="_xlnm._FilterDatabase" localSheetId="6" hidden="1">motor!$AQ$5:$AU$5</definedName>
    <definedName name="a">#REF!</definedName>
    <definedName name="a_2">#REF!</definedName>
    <definedName name="a_3">#REF!</definedName>
    <definedName name="a_4">#REF!</definedName>
    <definedName name="aBH">motor!$B$14</definedName>
    <definedName name="aLW">motor!$B$11</definedName>
    <definedName name="b">#REF!</definedName>
    <definedName name="b_2">#REF!</definedName>
    <definedName name="b_3">#REF!</definedName>
    <definedName name="b_4">#REF!</definedName>
    <definedName name="bBH">motor!$B$15</definedName>
    <definedName name="bLW">motor!$B$12</definedName>
    <definedName name="boats">motor!$L$7</definedName>
    <definedName name="days">motor!$L$8</definedName>
    <definedName name="F">motor!$L$9</definedName>
    <definedName name="K" localSheetId="0">#REF!</definedName>
    <definedName name="K">motor!$B$8</definedName>
    <definedName name="Lmax">motor!$B$7</definedName>
    <definedName name="M">motor!$B$17</definedName>
    <definedName name="pricekga">motor!$B$20</definedName>
    <definedName name="pricekgb">motor!$B$21</definedName>
    <definedName name="q" localSheetId="0">#REF!</definedName>
    <definedName name="q">motor!$B$18</definedName>
    <definedName name="rate">#REF!</definedName>
    <definedName name="solver_adj" localSheetId="1" hidden="1">Intro!$D$2:$D$3</definedName>
    <definedName name="solver_adj" localSheetId="6" hidden="1">motor!$B$15</definedName>
    <definedName name="solver_cvg" localSheetId="1" hidden="1">0.0001</definedName>
    <definedName name="solver_cvg" localSheetId="6" hidden="1">0.01</definedName>
    <definedName name="solver_drv" localSheetId="1" hidden="1">1</definedName>
    <definedName name="solver_drv" localSheetId="6" hidden="1">1</definedName>
    <definedName name="solver_est" localSheetId="1" hidden="1">1</definedName>
    <definedName name="solver_est" localSheetId="6" hidden="1">1</definedName>
    <definedName name="solver_itr" localSheetId="1" hidden="1">100</definedName>
    <definedName name="solver_itr" localSheetId="6" hidden="1">100</definedName>
    <definedName name="solver_lhs1" localSheetId="6" hidden="1">motor!$B$14</definedName>
    <definedName name="solver_lin" localSheetId="1" hidden="1">2</definedName>
    <definedName name="solver_lin" localSheetId="6" hidden="1">2</definedName>
    <definedName name="solver_neg" localSheetId="1" hidden="1">2</definedName>
    <definedName name="solver_neg" localSheetId="6" hidden="1">2</definedName>
    <definedName name="solver_num" localSheetId="1" hidden="1">0</definedName>
    <definedName name="solver_num" localSheetId="6" hidden="1">0</definedName>
    <definedName name="solver_nwt" localSheetId="1" hidden="1">1</definedName>
    <definedName name="solver_nwt" localSheetId="6" hidden="1">1</definedName>
    <definedName name="solver_opt" localSheetId="1" hidden="1">Intro!$H$19</definedName>
    <definedName name="solver_opt" localSheetId="6" hidden="1">motor!$L$15</definedName>
    <definedName name="solver_pre" localSheetId="1" hidden="1">0.000001</definedName>
    <definedName name="solver_pre" localSheetId="6" hidden="1">0.001</definedName>
    <definedName name="solver_rel1" localSheetId="6" hidden="1">3</definedName>
    <definedName name="solver_rhs1" localSheetId="6" hidden="1">0.0000000001</definedName>
    <definedName name="solver_scl" localSheetId="1" hidden="1">2</definedName>
    <definedName name="solver_scl" localSheetId="6" hidden="1">2</definedName>
    <definedName name="solver_sho" localSheetId="1" hidden="1">2</definedName>
    <definedName name="solver_sho" localSheetId="6" hidden="1">2</definedName>
    <definedName name="solver_tim" localSheetId="1" hidden="1">100</definedName>
    <definedName name="solver_tim" localSheetId="6" hidden="1">100</definedName>
    <definedName name="solver_tol" localSheetId="1" hidden="1">0.05</definedName>
    <definedName name="solver_tol" localSheetId="6" hidden="1">0.05</definedName>
    <definedName name="solver_typ" localSheetId="1" hidden="1">3</definedName>
    <definedName name="solver_typ" localSheetId="6" hidden="1">3</definedName>
    <definedName name="solver_val" localSheetId="1" hidden="1">0</definedName>
    <definedName name="solver_val" localSheetId="6" hidden="1">0</definedName>
    <definedName name="t0">motor!$B$9</definedName>
  </definedNames>
  <calcPr calcId="152511"/>
</workbook>
</file>

<file path=xl/calcChain.xml><?xml version="1.0" encoding="utf-8"?>
<calcChain xmlns="http://schemas.openxmlformats.org/spreadsheetml/2006/main">
  <c r="C4" i="2" l="1"/>
  <c r="D4" i="2"/>
  <c r="E4" i="2"/>
  <c r="F4" i="2"/>
  <c r="G4" i="2"/>
  <c r="H4" i="2"/>
  <c r="I4" i="2"/>
  <c r="J4" i="2"/>
  <c r="K4" i="2"/>
  <c r="L4" i="2"/>
  <c r="M4" i="2"/>
  <c r="N4" i="2"/>
  <c r="F33" i="2" s="1"/>
  <c r="O4" i="2"/>
  <c r="G33" i="2" s="1"/>
  <c r="P4" i="2"/>
  <c r="Q4" i="2"/>
  <c r="R4" i="2"/>
  <c r="S4" i="2"/>
  <c r="T4" i="2"/>
  <c r="U4" i="2"/>
  <c r="B4" i="2"/>
  <c r="L8" i="2"/>
  <c r="L7" i="2"/>
  <c r="B18" i="2"/>
  <c r="M38" i="2"/>
  <c r="N38" i="2"/>
  <c r="O38" i="2"/>
  <c r="AT13" i="2"/>
  <c r="AU13" i="2"/>
  <c r="AT21" i="2"/>
  <c r="AU21" i="2"/>
  <c r="AT29" i="2"/>
  <c r="AU29" i="2" s="1"/>
  <c r="AB38" i="2"/>
  <c r="AC38" i="2"/>
  <c r="AD38" i="2"/>
  <c r="AE38" i="2"/>
  <c r="AF38" i="2"/>
  <c r="D20" i="3"/>
  <c r="C20" i="3"/>
  <c r="C120" i="2"/>
  <c r="C122" i="2"/>
  <c r="D122" i="2" s="1"/>
  <c r="C123" i="2"/>
  <c r="C124" i="2"/>
  <c r="C125" i="2"/>
  <c r="C126" i="2"/>
  <c r="D126" i="2" s="1"/>
  <c r="C127" i="2"/>
  <c r="C128" i="2"/>
  <c r="C129" i="2"/>
  <c r="C130" i="2"/>
  <c r="D130" i="2" s="1"/>
  <c r="C131" i="2"/>
  <c r="C121" i="2"/>
  <c r="D2" i="2"/>
  <c r="D131" i="2"/>
  <c r="D129" i="2"/>
  <c r="D128" i="2"/>
  <c r="D127" i="2"/>
  <c r="D125" i="2"/>
  <c r="D124" i="2"/>
  <c r="D123" i="2"/>
  <c r="D121" i="2"/>
  <c r="D120" i="2"/>
  <c r="AT14" i="2"/>
  <c r="AU14" i="2" s="1"/>
  <c r="AT15" i="2"/>
  <c r="AU15" i="2" s="1"/>
  <c r="AT17" i="2"/>
  <c r="AU17" i="2" s="1"/>
  <c r="AT22" i="2"/>
  <c r="AU22" i="2" s="1"/>
  <c r="AT23" i="2"/>
  <c r="AU23" i="2" s="1"/>
  <c r="AT25" i="2"/>
  <c r="AU25" i="2" s="1"/>
  <c r="AT30" i="2"/>
  <c r="AU30" i="2" s="1"/>
  <c r="AT31" i="2"/>
  <c r="AU31" i="2" s="1"/>
  <c r="AT33" i="2"/>
  <c r="AU33" i="2" s="1"/>
  <c r="BA5" i="2"/>
  <c r="BB5" i="2" s="1"/>
  <c r="BA6" i="2"/>
  <c r="BB6" i="2" s="1"/>
  <c r="BA7" i="2"/>
  <c r="BB7" i="2" s="1"/>
  <c r="BA9" i="2"/>
  <c r="BB9" i="2" s="1"/>
  <c r="AQ6" i="2"/>
  <c r="AR6" i="2" s="1"/>
  <c r="AQ5" i="2"/>
  <c r="AQ7" i="2"/>
  <c r="AQ8" i="2"/>
  <c r="AQ9" i="2"/>
  <c r="AT5" i="2"/>
  <c r="AU5" i="2" s="1"/>
  <c r="AT6" i="2"/>
  <c r="AU6" i="2" s="1"/>
  <c r="AT7" i="2"/>
  <c r="AU7" i="2" s="1"/>
  <c r="AT9" i="2"/>
  <c r="AU9" i="2" s="1"/>
  <c r="BA8" i="2"/>
  <c r="BB8" i="2" s="1"/>
  <c r="AT32" i="2"/>
  <c r="AU32" i="2"/>
  <c r="AT24" i="2"/>
  <c r="AU24" i="2"/>
  <c r="AT16" i="2"/>
  <c r="AU16" i="2"/>
  <c r="AR9" i="2"/>
  <c r="AT8" i="2"/>
  <c r="AU8" i="2" s="1"/>
  <c r="AL22" i="2"/>
  <c r="AL23" i="2"/>
  <c r="AL24" i="2"/>
  <c r="AL21" i="2"/>
  <c r="AK33" i="2"/>
  <c r="AL33" i="2"/>
  <c r="AM33" i="2"/>
  <c r="AN33" i="2"/>
  <c r="AJ33" i="2"/>
  <c r="AJ31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L38" i="2"/>
  <c r="R34" i="2"/>
  <c r="C2" i="2"/>
  <c r="E2" i="2"/>
  <c r="F2" i="2"/>
  <c r="G2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B2" i="2"/>
  <c r="AJ38" i="2" a="1"/>
  <c r="AJ38" i="2" s="1"/>
  <c r="AL38" i="2" s="1"/>
  <c r="E33" i="2" l="1"/>
  <c r="D33" i="2"/>
  <c r="L9" i="2"/>
  <c r="F34" i="2" s="1"/>
  <c r="W34" i="2" s="1"/>
  <c r="AR5" i="2"/>
  <c r="AS6" i="2" s="1"/>
  <c r="AS7" i="2" s="1"/>
  <c r="AR7" i="2"/>
  <c r="AR8" i="2"/>
  <c r="AG38" i="2"/>
  <c r="AH38" i="2" s="1"/>
  <c r="C33" i="2"/>
  <c r="P38" i="2"/>
  <c r="D39" i="2" s="1"/>
  <c r="D34" i="2" l="1"/>
  <c r="E39" i="2" s="1"/>
  <c r="G34" i="2"/>
  <c r="X34" i="2" s="1"/>
  <c r="E34" i="2"/>
  <c r="V34" i="2" s="1"/>
  <c r="G39" i="2"/>
  <c r="O39" i="2" s="1"/>
  <c r="C34" i="2"/>
  <c r="T34" i="2" s="1"/>
  <c r="AQ40" i="2"/>
  <c r="AQ44" i="2"/>
  <c r="AQ48" i="2"/>
  <c r="AQ52" i="2"/>
  <c r="AQ56" i="2"/>
  <c r="AQ62" i="2"/>
  <c r="AQ66" i="2"/>
  <c r="AQ70" i="2"/>
  <c r="AQ74" i="2"/>
  <c r="AQ78" i="2"/>
  <c r="AQ82" i="2"/>
  <c r="AQ86" i="2"/>
  <c r="AQ90" i="2"/>
  <c r="AQ94" i="2"/>
  <c r="AQ98" i="2"/>
  <c r="AQ102" i="2"/>
  <c r="AQ106" i="2"/>
  <c r="AQ110" i="2"/>
  <c r="AQ114" i="2"/>
  <c r="AQ118" i="2"/>
  <c r="AQ122" i="2"/>
  <c r="AQ126" i="2"/>
  <c r="AQ130" i="2"/>
  <c r="AQ134" i="2"/>
  <c r="AQ41" i="2"/>
  <c r="AQ45" i="2"/>
  <c r="AQ49" i="2"/>
  <c r="AQ53" i="2"/>
  <c r="AQ57" i="2"/>
  <c r="AQ59" i="2"/>
  <c r="AQ63" i="2"/>
  <c r="AQ67" i="2"/>
  <c r="AQ71" i="2"/>
  <c r="AQ75" i="2"/>
  <c r="AQ79" i="2"/>
  <c r="AQ83" i="2"/>
  <c r="AQ87" i="2"/>
  <c r="AQ91" i="2"/>
  <c r="AQ95" i="2"/>
  <c r="AQ99" i="2"/>
  <c r="AQ103" i="2"/>
  <c r="AQ107" i="2"/>
  <c r="AQ111" i="2"/>
  <c r="AQ115" i="2"/>
  <c r="AQ119" i="2"/>
  <c r="AQ123" i="2"/>
  <c r="AQ127" i="2"/>
  <c r="AQ131" i="2"/>
  <c r="AQ39" i="2"/>
  <c r="AQ43" i="2"/>
  <c r="AQ47" i="2"/>
  <c r="AQ51" i="2"/>
  <c r="AQ55" i="2"/>
  <c r="AQ61" i="2"/>
  <c r="AQ65" i="2"/>
  <c r="AQ69" i="2"/>
  <c r="AQ73" i="2"/>
  <c r="AQ77" i="2"/>
  <c r="AQ81" i="2"/>
  <c r="AQ85" i="2"/>
  <c r="AQ89" i="2"/>
  <c r="AQ93" i="2"/>
  <c r="AQ97" i="2"/>
  <c r="AQ101" i="2"/>
  <c r="AQ105" i="2"/>
  <c r="AQ109" i="2"/>
  <c r="AQ113" i="2"/>
  <c r="AQ117" i="2"/>
  <c r="AQ121" i="2"/>
  <c r="AQ125" i="2"/>
  <c r="AQ129" i="2"/>
  <c r="AQ50" i="2"/>
  <c r="AQ60" i="2"/>
  <c r="AQ76" i="2"/>
  <c r="AQ92" i="2"/>
  <c r="AQ108" i="2"/>
  <c r="AQ124" i="2"/>
  <c r="AQ42" i="2"/>
  <c r="AQ84" i="2"/>
  <c r="AQ38" i="2"/>
  <c r="AQ54" i="2"/>
  <c r="AQ64" i="2"/>
  <c r="AQ80" i="2"/>
  <c r="AQ96" i="2"/>
  <c r="AQ112" i="2"/>
  <c r="AQ128" i="2"/>
  <c r="AQ68" i="2"/>
  <c r="AQ116" i="2"/>
  <c r="AQ46" i="2"/>
  <c r="AQ72" i="2"/>
  <c r="AQ88" i="2"/>
  <c r="AQ104" i="2"/>
  <c r="AQ120" i="2"/>
  <c r="AQ58" i="2"/>
  <c r="AQ100" i="2"/>
  <c r="E40" i="2"/>
  <c r="L39" i="2"/>
  <c r="AS8" i="2"/>
  <c r="AQ135" i="2" s="1"/>
  <c r="AS9" i="2"/>
  <c r="AM38" i="2"/>
  <c r="AN38" i="2" s="1"/>
  <c r="U34" i="2" l="1"/>
  <c r="C38" i="2"/>
  <c r="K38" i="2" s="1"/>
  <c r="F39" i="2"/>
  <c r="W39" i="2" s="1"/>
  <c r="AE39" i="2" s="1"/>
  <c r="X39" i="2"/>
  <c r="AF39" i="2" s="1"/>
  <c r="U39" i="2"/>
  <c r="M40" i="2"/>
  <c r="F41" i="2"/>
  <c r="AQ136" i="2"/>
  <c r="V39" i="2"/>
  <c r="V40" i="2"/>
  <c r="AQ137" i="2"/>
  <c r="M39" i="2"/>
  <c r="F40" i="2"/>
  <c r="AQ132" i="2"/>
  <c r="AQ133" i="2"/>
  <c r="AQ16" i="2" l="1"/>
  <c r="AQ17" i="2"/>
  <c r="G40" i="2"/>
  <c r="O40" i="2" s="1"/>
  <c r="N39" i="2"/>
  <c r="P39" i="2" s="1"/>
  <c r="D40" i="2" s="1"/>
  <c r="AQ140" i="2"/>
  <c r="AQ15" i="2"/>
  <c r="AD39" i="2"/>
  <c r="N41" i="2"/>
  <c r="G42" i="2"/>
  <c r="W41" i="2"/>
  <c r="AQ14" i="2"/>
  <c r="AC39" i="2"/>
  <c r="AQ23" i="2"/>
  <c r="AD40" i="2"/>
  <c r="AQ139" i="2"/>
  <c r="G41" i="2"/>
  <c r="N40" i="2"/>
  <c r="W40" i="2"/>
  <c r="X40" i="2" l="1"/>
  <c r="AQ25" i="2" s="1"/>
  <c r="P40" i="2"/>
  <c r="D41" i="2" s="1"/>
  <c r="L41" i="2" s="1"/>
  <c r="O41" i="2"/>
  <c r="X41" i="2"/>
  <c r="O42" i="2"/>
  <c r="X42" i="2"/>
  <c r="AF42" i="2" s="1"/>
  <c r="E41" i="2"/>
  <c r="C39" i="2"/>
  <c r="L40" i="2"/>
  <c r="U40" i="2"/>
  <c r="AQ24" i="2"/>
  <c r="AE40" i="2"/>
  <c r="AQ32" i="2"/>
  <c r="AE41" i="2"/>
  <c r="AF40" i="2" l="1"/>
  <c r="E42" i="2"/>
  <c r="F43" i="2" s="1"/>
  <c r="C40" i="2"/>
  <c r="K40" i="2" s="1"/>
  <c r="U41" i="2"/>
  <c r="AC41" i="2" s="1"/>
  <c r="K39" i="2"/>
  <c r="T39" i="2"/>
  <c r="M41" i="2"/>
  <c r="P41" i="2" s="1"/>
  <c r="D42" i="2" s="1"/>
  <c r="F42" i="2"/>
  <c r="V41" i="2"/>
  <c r="AQ33" i="2"/>
  <c r="AF41" i="2"/>
  <c r="AQ22" i="2"/>
  <c r="AC40" i="2"/>
  <c r="V42" i="2" l="1"/>
  <c r="AD42" i="2" s="1"/>
  <c r="M42" i="2"/>
  <c r="AQ30" i="2"/>
  <c r="T40" i="2"/>
  <c r="AQ21" i="2" s="1"/>
  <c r="AR22" i="2" s="1"/>
  <c r="AQ31" i="2"/>
  <c r="AD41" i="2"/>
  <c r="N43" i="2"/>
  <c r="G44" i="2"/>
  <c r="W43" i="2"/>
  <c r="AE43" i="2" s="1"/>
  <c r="G43" i="2"/>
  <c r="N42" i="2"/>
  <c r="W42" i="2"/>
  <c r="AE42" i="2" s="1"/>
  <c r="AJ40" i="2" a="1"/>
  <c r="C41" i="2"/>
  <c r="E43" i="2"/>
  <c r="L42" i="2"/>
  <c r="U42" i="2"/>
  <c r="AC42" i="2" s="1"/>
  <c r="AQ13" i="2"/>
  <c r="AB39" i="2"/>
  <c r="AG39" i="2" s="1"/>
  <c r="AJ39" i="2" a="1"/>
  <c r="AJ39" i="2" s="1"/>
  <c r="AL39" i="2" s="1"/>
  <c r="P42" i="2" l="1"/>
  <c r="D43" i="2" s="1"/>
  <c r="C42" i="2" s="1"/>
  <c r="AJ40" i="2"/>
  <c r="AL40" i="2" s="1"/>
  <c r="D40" i="3" s="1"/>
  <c r="AB40" i="2"/>
  <c r="AG40" i="2" s="1"/>
  <c r="B40" i="3" s="1"/>
  <c r="K41" i="2"/>
  <c r="T41" i="2"/>
  <c r="E44" i="2"/>
  <c r="U43" i="2"/>
  <c r="AC43" i="2" s="1"/>
  <c r="AM39" i="2"/>
  <c r="AN39" i="2" s="1"/>
  <c r="E39" i="3" s="1"/>
  <c r="D39" i="3"/>
  <c r="B39" i="3"/>
  <c r="AH39" i="2"/>
  <c r="C39" i="3" s="1"/>
  <c r="M43" i="2"/>
  <c r="F44" i="2"/>
  <c r="V43" i="2"/>
  <c r="AD43" i="2" s="1"/>
  <c r="AR21" i="2"/>
  <c r="AS22" i="2" s="1"/>
  <c r="AS23" i="2" s="1"/>
  <c r="AR23" i="2"/>
  <c r="AR24" i="2"/>
  <c r="AR25" i="2"/>
  <c r="O43" i="2"/>
  <c r="X43" i="2"/>
  <c r="AF43" i="2" s="1"/>
  <c r="AR13" i="2"/>
  <c r="AS14" i="2" s="1"/>
  <c r="AR16" i="2"/>
  <c r="AR17" i="2"/>
  <c r="AR15" i="2"/>
  <c r="AR14" i="2"/>
  <c r="AS15" i="2" s="1"/>
  <c r="O44" i="2"/>
  <c r="X44" i="2"/>
  <c r="AF44" i="2" s="1"/>
  <c r="AH40" i="2" l="1"/>
  <c r="C40" i="3" s="1"/>
  <c r="L43" i="2"/>
  <c r="AM40" i="2"/>
  <c r="AN40" i="2" s="1"/>
  <c r="E40" i="3" s="1"/>
  <c r="G45" i="2"/>
  <c r="N44" i="2"/>
  <c r="W44" i="2"/>
  <c r="AE44" i="2" s="1"/>
  <c r="K42" i="2"/>
  <c r="T42" i="2"/>
  <c r="AS24" i="2"/>
  <c r="P43" i="2"/>
  <c r="D44" i="2" s="1"/>
  <c r="M44" i="2"/>
  <c r="F45" i="2"/>
  <c r="V44" i="2"/>
  <c r="AD44" i="2" s="1"/>
  <c r="AS16" i="2"/>
  <c r="AS17" i="2" s="1"/>
  <c r="AQ29" i="2"/>
  <c r="AB41" i="2"/>
  <c r="AG41" i="2" s="1"/>
  <c r="AJ41" i="2" a="1"/>
  <c r="AJ41" i="2" s="1"/>
  <c r="AL41" i="2" s="1"/>
  <c r="AR77" i="2" l="1"/>
  <c r="K77" i="3" s="1"/>
  <c r="AR94" i="2"/>
  <c r="K94" i="3" s="1"/>
  <c r="AR91" i="2"/>
  <c r="K91" i="3" s="1"/>
  <c r="AR125" i="2"/>
  <c r="K125" i="3" s="1"/>
  <c r="AR128" i="2"/>
  <c r="K128" i="3" s="1"/>
  <c r="AR126" i="2"/>
  <c r="K126" i="3" s="1"/>
  <c r="AR137" i="2"/>
  <c r="K137" i="3" s="1"/>
  <c r="AR42" i="2"/>
  <c r="K42" i="3" s="1"/>
  <c r="AR74" i="2"/>
  <c r="K74" i="3" s="1"/>
  <c r="AR45" i="2"/>
  <c r="K45" i="3" s="1"/>
  <c r="AR48" i="2"/>
  <c r="K48" i="3" s="1"/>
  <c r="AR55" i="2"/>
  <c r="K55" i="3" s="1"/>
  <c r="AR63" i="2"/>
  <c r="K63" i="3" s="1"/>
  <c r="AR103" i="2"/>
  <c r="K103" i="3" s="1"/>
  <c r="AR112" i="2"/>
  <c r="K112" i="3" s="1"/>
  <c r="AR110" i="2"/>
  <c r="K110" i="3" s="1"/>
  <c r="AR107" i="2"/>
  <c r="K107" i="3" s="1"/>
  <c r="AR58" i="2"/>
  <c r="K58" i="3" s="1"/>
  <c r="AR83" i="2"/>
  <c r="K83" i="3" s="1"/>
  <c r="AR61" i="2"/>
  <c r="K61" i="3" s="1"/>
  <c r="AR64" i="2"/>
  <c r="K64" i="3" s="1"/>
  <c r="AR102" i="2"/>
  <c r="K102" i="3" s="1"/>
  <c r="AR89" i="2"/>
  <c r="K89" i="3" s="1"/>
  <c r="AR46" i="2"/>
  <c r="K46" i="3" s="1"/>
  <c r="AR38" i="2"/>
  <c r="AR115" i="2"/>
  <c r="K115" i="3" s="1"/>
  <c r="AH41" i="2"/>
  <c r="C41" i="3" s="1"/>
  <c r="B41" i="3"/>
  <c r="N45" i="2"/>
  <c r="G46" i="2"/>
  <c r="W45" i="2"/>
  <c r="AE45" i="2" s="1"/>
  <c r="AR123" i="2"/>
  <c r="K123" i="3" s="1"/>
  <c r="AR127" i="2"/>
  <c r="K127" i="3" s="1"/>
  <c r="AR99" i="2"/>
  <c r="K99" i="3" s="1"/>
  <c r="AR122" i="2"/>
  <c r="K122" i="3" s="1"/>
  <c r="AR105" i="2"/>
  <c r="K105" i="3" s="1"/>
  <c r="AR136" i="2"/>
  <c r="K136" i="3" s="1"/>
  <c r="AR124" i="2"/>
  <c r="K124" i="3" s="1"/>
  <c r="AR109" i="2"/>
  <c r="K109" i="3" s="1"/>
  <c r="AR134" i="2"/>
  <c r="K134" i="3" s="1"/>
  <c r="AR121" i="2"/>
  <c r="K121" i="3" s="1"/>
  <c r="AR95" i="2"/>
  <c r="K95" i="3" s="1"/>
  <c r="AR84" i="2"/>
  <c r="K84" i="3" s="1"/>
  <c r="AR88" i="2"/>
  <c r="K88" i="3" s="1"/>
  <c r="AR108" i="2"/>
  <c r="K108" i="3" s="1"/>
  <c r="AR100" i="2"/>
  <c r="K100" i="3" s="1"/>
  <c r="AR92" i="2"/>
  <c r="K92" i="3" s="1"/>
  <c r="AR73" i="2"/>
  <c r="K73" i="3" s="1"/>
  <c r="AR57" i="2"/>
  <c r="K57" i="3" s="1"/>
  <c r="AR41" i="2"/>
  <c r="K41" i="3" s="1"/>
  <c r="AR76" i="2"/>
  <c r="K76" i="3" s="1"/>
  <c r="AR60" i="2"/>
  <c r="K60" i="3" s="1"/>
  <c r="AR44" i="2"/>
  <c r="K44" i="3" s="1"/>
  <c r="AR81" i="2"/>
  <c r="K81" i="3" s="1"/>
  <c r="AR67" i="2"/>
  <c r="K67" i="3" s="1"/>
  <c r="AR51" i="2"/>
  <c r="K51" i="3" s="1"/>
  <c r="AB42" i="2"/>
  <c r="AG42" i="2" s="1"/>
  <c r="AH42" i="2" s="1"/>
  <c r="AJ42" i="2" a="1"/>
  <c r="AJ42" i="2" s="1"/>
  <c r="AL42" i="2" s="1"/>
  <c r="O45" i="2"/>
  <c r="X45" i="2"/>
  <c r="AF45" i="2" s="1"/>
  <c r="AM41" i="2"/>
  <c r="AN41" i="2" s="1"/>
  <c r="E41" i="3" s="1"/>
  <c r="D41" i="3"/>
  <c r="AR29" i="2"/>
  <c r="AS30" i="2" s="1"/>
  <c r="AR32" i="2"/>
  <c r="AR33" i="2"/>
  <c r="AR30" i="2"/>
  <c r="AR31" i="2"/>
  <c r="AR111" i="2"/>
  <c r="K111" i="3" s="1"/>
  <c r="AR78" i="2"/>
  <c r="K78" i="3" s="1"/>
  <c r="AR118" i="2"/>
  <c r="K118" i="3" s="1"/>
  <c r="AR97" i="2"/>
  <c r="K97" i="3" s="1"/>
  <c r="AR135" i="2"/>
  <c r="K135" i="3" s="1"/>
  <c r="AR120" i="2"/>
  <c r="K120" i="3" s="1"/>
  <c r="AR101" i="2"/>
  <c r="K101" i="3" s="1"/>
  <c r="AR133" i="2"/>
  <c r="K133" i="3" s="1"/>
  <c r="AR117" i="2"/>
  <c r="K117" i="3" s="1"/>
  <c r="AR71" i="2"/>
  <c r="K71" i="3" s="1"/>
  <c r="AR54" i="2"/>
  <c r="K54" i="3" s="1"/>
  <c r="AR80" i="2"/>
  <c r="K80" i="3" s="1"/>
  <c r="AR106" i="2"/>
  <c r="K106" i="3" s="1"/>
  <c r="AR98" i="2"/>
  <c r="K98" i="3" s="1"/>
  <c r="AR82" i="2"/>
  <c r="K82" i="3" s="1"/>
  <c r="AR72" i="2"/>
  <c r="K72" i="3" s="1"/>
  <c r="AR56" i="2"/>
  <c r="K56" i="3" s="1"/>
  <c r="AR40" i="2"/>
  <c r="K40" i="3" s="1"/>
  <c r="AR69" i="2"/>
  <c r="K69" i="3" s="1"/>
  <c r="AR53" i="2"/>
  <c r="K53" i="3" s="1"/>
  <c r="AR87" i="2"/>
  <c r="K87" i="3" s="1"/>
  <c r="AR79" i="2"/>
  <c r="K79" i="3" s="1"/>
  <c r="AR66" i="2"/>
  <c r="K66" i="3" s="1"/>
  <c r="AR50" i="2"/>
  <c r="K50" i="3" s="1"/>
  <c r="AS25" i="2"/>
  <c r="AS136" i="2" s="1"/>
  <c r="L136" i="3" s="1"/>
  <c r="P44" i="2"/>
  <c r="D45" i="2" s="1"/>
  <c r="E45" i="2"/>
  <c r="C43" i="2"/>
  <c r="L44" i="2"/>
  <c r="U44" i="2"/>
  <c r="AC44" i="2" s="1"/>
  <c r="AR119" i="2"/>
  <c r="K119" i="3" s="1"/>
  <c r="AR131" i="2"/>
  <c r="K131" i="3" s="1"/>
  <c r="AR130" i="2"/>
  <c r="K130" i="3" s="1"/>
  <c r="AR114" i="2"/>
  <c r="K114" i="3" s="1"/>
  <c r="AR90" i="2"/>
  <c r="K90" i="3" s="1"/>
  <c r="AR132" i="2"/>
  <c r="K132" i="3" s="1"/>
  <c r="AR116" i="2"/>
  <c r="K116" i="3" s="1"/>
  <c r="AR86" i="2"/>
  <c r="K86" i="3" s="1"/>
  <c r="AR129" i="2"/>
  <c r="K129" i="3" s="1"/>
  <c r="AR113" i="2"/>
  <c r="K113" i="3" s="1"/>
  <c r="AR93" i="2"/>
  <c r="K93" i="3" s="1"/>
  <c r="AR47" i="2"/>
  <c r="K47" i="3" s="1"/>
  <c r="AR70" i="2"/>
  <c r="K70" i="3" s="1"/>
  <c r="AR104" i="2"/>
  <c r="K104" i="3" s="1"/>
  <c r="AR96" i="2"/>
  <c r="K96" i="3" s="1"/>
  <c r="AR62" i="2"/>
  <c r="K62" i="3" s="1"/>
  <c r="AR65" i="2"/>
  <c r="K65" i="3" s="1"/>
  <c r="AR49" i="2"/>
  <c r="K49" i="3" s="1"/>
  <c r="AR39" i="2"/>
  <c r="K39" i="3" s="1"/>
  <c r="AR68" i="2"/>
  <c r="K68" i="3" s="1"/>
  <c r="AR52" i="2"/>
  <c r="K52" i="3" s="1"/>
  <c r="AR85" i="2"/>
  <c r="K85" i="3" s="1"/>
  <c r="AR75" i="2"/>
  <c r="K75" i="3" s="1"/>
  <c r="AR59" i="2"/>
  <c r="K59" i="3" s="1"/>
  <c r="AR43" i="2"/>
  <c r="K43" i="3" s="1"/>
  <c r="AS75" i="2" l="1"/>
  <c r="L75" i="3" s="1"/>
  <c r="AS105" i="2"/>
  <c r="L105" i="3" s="1"/>
  <c r="AS102" i="2"/>
  <c r="L102" i="3" s="1"/>
  <c r="AS63" i="2"/>
  <c r="L63" i="3" s="1"/>
  <c r="AS117" i="2"/>
  <c r="L117" i="3" s="1"/>
  <c r="AS42" i="2"/>
  <c r="L42" i="3" s="1"/>
  <c r="AS45" i="2"/>
  <c r="L45" i="3" s="1"/>
  <c r="AS51" i="2"/>
  <c r="L51" i="3" s="1"/>
  <c r="AS101" i="2"/>
  <c r="L101" i="3" s="1"/>
  <c r="AS58" i="2"/>
  <c r="L58" i="3" s="1"/>
  <c r="AS89" i="2"/>
  <c r="L89" i="3" s="1"/>
  <c r="AS114" i="2"/>
  <c r="L114" i="3" s="1"/>
  <c r="AS123" i="2"/>
  <c r="L123" i="3" s="1"/>
  <c r="AS106" i="2"/>
  <c r="L106" i="3" s="1"/>
  <c r="AS78" i="2"/>
  <c r="L78" i="3" s="1"/>
  <c r="AS61" i="2"/>
  <c r="L61" i="3" s="1"/>
  <c r="AS92" i="2"/>
  <c r="L92" i="3" s="1"/>
  <c r="AS111" i="2"/>
  <c r="L111" i="3" s="1"/>
  <c r="AS46" i="2"/>
  <c r="L46" i="3" s="1"/>
  <c r="AS56" i="2"/>
  <c r="L56" i="3" s="1"/>
  <c r="AS74" i="2"/>
  <c r="L74" i="3" s="1"/>
  <c r="AS107" i="2"/>
  <c r="L107" i="3" s="1"/>
  <c r="AS130" i="2"/>
  <c r="L130" i="3" s="1"/>
  <c r="AS137" i="2"/>
  <c r="L137" i="3" s="1"/>
  <c r="AS53" i="2"/>
  <c r="L53" i="3" s="1"/>
  <c r="AS119" i="2"/>
  <c r="L119" i="3" s="1"/>
  <c r="AS86" i="2"/>
  <c r="L86" i="3" s="1"/>
  <c r="AS76" i="2"/>
  <c r="L76" i="3" s="1"/>
  <c r="AS81" i="2"/>
  <c r="L81" i="3" s="1"/>
  <c r="AS127" i="2"/>
  <c r="L127" i="3" s="1"/>
  <c r="AS68" i="2"/>
  <c r="L68" i="3" s="1"/>
  <c r="AS90" i="2"/>
  <c r="L90" i="3" s="1"/>
  <c r="AS128" i="2"/>
  <c r="L128" i="3" s="1"/>
  <c r="AS72" i="2"/>
  <c r="L72" i="3" s="1"/>
  <c r="AS70" i="2"/>
  <c r="L70" i="3" s="1"/>
  <c r="AS85" i="2"/>
  <c r="L85" i="3" s="1"/>
  <c r="AS113" i="2"/>
  <c r="L113" i="3" s="1"/>
  <c r="AS38" i="2"/>
  <c r="L38" i="3" s="1"/>
  <c r="AS87" i="2"/>
  <c r="L87" i="3" s="1"/>
  <c r="AS134" i="2"/>
  <c r="L134" i="3" s="1"/>
  <c r="AS65" i="2"/>
  <c r="L65" i="3" s="1"/>
  <c r="AS93" i="2"/>
  <c r="L93" i="3" s="1"/>
  <c r="AS118" i="2"/>
  <c r="L118" i="3" s="1"/>
  <c r="AS112" i="2"/>
  <c r="L112" i="3" s="1"/>
  <c r="AS135" i="2"/>
  <c r="L135" i="3" s="1"/>
  <c r="AS84" i="2"/>
  <c r="L84" i="3" s="1"/>
  <c r="AS54" i="2"/>
  <c r="L54" i="3" s="1"/>
  <c r="AS99" i="2"/>
  <c r="L99" i="3" s="1"/>
  <c r="AS91" i="2"/>
  <c r="L91" i="3" s="1"/>
  <c r="AS129" i="2"/>
  <c r="L129" i="3" s="1"/>
  <c r="AS132" i="2"/>
  <c r="L132" i="3" s="1"/>
  <c r="AS82" i="2"/>
  <c r="L82" i="3" s="1"/>
  <c r="AS83" i="2"/>
  <c r="L83" i="3" s="1"/>
  <c r="AS47" i="2"/>
  <c r="L47" i="3" s="1"/>
  <c r="AS49" i="2"/>
  <c r="L49" i="3" s="1"/>
  <c r="AS77" i="2"/>
  <c r="L77" i="3" s="1"/>
  <c r="AS109" i="2"/>
  <c r="L109" i="3" s="1"/>
  <c r="AS60" i="2"/>
  <c r="L60" i="3" s="1"/>
  <c r="AS120" i="2"/>
  <c r="L120" i="3" s="1"/>
  <c r="AS41" i="2"/>
  <c r="L41" i="3" s="1"/>
  <c r="AS80" i="2"/>
  <c r="L80" i="3" s="1"/>
  <c r="AS121" i="2"/>
  <c r="L121" i="3" s="1"/>
  <c r="AS59" i="2"/>
  <c r="L59" i="3" s="1"/>
  <c r="AS95" i="2"/>
  <c r="L95" i="3" s="1"/>
  <c r="K43" i="2"/>
  <c r="T43" i="2"/>
  <c r="AS57" i="2"/>
  <c r="L57" i="3" s="1"/>
  <c r="AS126" i="2"/>
  <c r="L126" i="3" s="1"/>
  <c r="AS88" i="2"/>
  <c r="L88" i="3" s="1"/>
  <c r="AS62" i="2"/>
  <c r="L62" i="3" s="1"/>
  <c r="AS103" i="2"/>
  <c r="L103" i="3" s="1"/>
  <c r="AS108" i="2"/>
  <c r="L108" i="3" s="1"/>
  <c r="AS67" i="2"/>
  <c r="L67" i="3" s="1"/>
  <c r="AS124" i="2"/>
  <c r="L124" i="3" s="1"/>
  <c r="AM42" i="2"/>
  <c r="AN42" i="2" s="1"/>
  <c r="O46" i="2"/>
  <c r="X46" i="2"/>
  <c r="AF46" i="2" s="1"/>
  <c r="AS71" i="2"/>
  <c r="L71" i="3" s="1"/>
  <c r="AS110" i="2"/>
  <c r="L110" i="3" s="1"/>
  <c r="AS40" i="2"/>
  <c r="L40" i="3" s="1"/>
  <c r="M45" i="2"/>
  <c r="P45" i="2" s="1"/>
  <c r="D46" i="2" s="1"/>
  <c r="F46" i="2"/>
  <c r="V45" i="2"/>
  <c r="AD45" i="2" s="1"/>
  <c r="AS69" i="2"/>
  <c r="L69" i="3" s="1"/>
  <c r="AS94" i="2"/>
  <c r="L94" i="3" s="1"/>
  <c r="AS48" i="2"/>
  <c r="L48" i="3" s="1"/>
  <c r="AS50" i="2"/>
  <c r="L50" i="3" s="1"/>
  <c r="AS39" i="2"/>
  <c r="L39" i="3" s="1"/>
  <c r="AS52" i="2"/>
  <c r="L52" i="3" s="1"/>
  <c r="AS122" i="2"/>
  <c r="L122" i="3" s="1"/>
  <c r="AS115" i="2"/>
  <c r="L115" i="3" s="1"/>
  <c r="AS104" i="2"/>
  <c r="L104" i="3" s="1"/>
  <c r="AS73" i="2"/>
  <c r="L73" i="3" s="1"/>
  <c r="AS125" i="2"/>
  <c r="L125" i="3" s="1"/>
  <c r="E46" i="2"/>
  <c r="L45" i="2"/>
  <c r="C44" i="2"/>
  <c r="U45" i="2"/>
  <c r="AC45" i="2" s="1"/>
  <c r="AS100" i="2"/>
  <c r="L100" i="3" s="1"/>
  <c r="AS133" i="2"/>
  <c r="L133" i="3" s="1"/>
  <c r="AS96" i="2"/>
  <c r="L96" i="3" s="1"/>
  <c r="AS31" i="2"/>
  <c r="AS32" i="2" s="1"/>
  <c r="AS33" i="2" s="1"/>
  <c r="AS55" i="2"/>
  <c r="L55" i="3" s="1"/>
  <c r="AS97" i="2"/>
  <c r="L97" i="3" s="1"/>
  <c r="AS116" i="2"/>
  <c r="L116" i="3" s="1"/>
  <c r="AS64" i="2"/>
  <c r="L64" i="3" s="1"/>
  <c r="AS66" i="2"/>
  <c r="L66" i="3" s="1"/>
  <c r="AS79" i="2"/>
  <c r="L79" i="3" s="1"/>
  <c r="AS43" i="2"/>
  <c r="L43" i="3" s="1"/>
  <c r="AS98" i="2"/>
  <c r="L98" i="3" s="1"/>
  <c r="AS131" i="2"/>
  <c r="L131" i="3" s="1"/>
  <c r="AS44" i="2"/>
  <c r="L44" i="3" s="1"/>
  <c r="AR140" i="2"/>
  <c r="K38" i="3"/>
  <c r="AR139" i="2"/>
  <c r="F47" i="2" l="1"/>
  <c r="M46" i="2"/>
  <c r="V46" i="2"/>
  <c r="AD46" i="2" s="1"/>
  <c r="K44" i="2"/>
  <c r="T44" i="2"/>
  <c r="G47" i="2"/>
  <c r="N46" i="2"/>
  <c r="W46" i="2"/>
  <c r="AE46" i="2" s="1"/>
  <c r="AS140" i="2"/>
  <c r="AT44" i="2"/>
  <c r="M44" i="3" s="1"/>
  <c r="AT45" i="2"/>
  <c r="M45" i="3" s="1"/>
  <c r="AT52" i="2"/>
  <c r="M52" i="3" s="1"/>
  <c r="AT53" i="2"/>
  <c r="M53" i="3" s="1"/>
  <c r="AT60" i="2"/>
  <c r="M60" i="3" s="1"/>
  <c r="AT61" i="2"/>
  <c r="M61" i="3" s="1"/>
  <c r="AT68" i="2"/>
  <c r="M68" i="3" s="1"/>
  <c r="AT69" i="2"/>
  <c r="M69" i="3" s="1"/>
  <c r="AT76" i="2"/>
  <c r="M76" i="3" s="1"/>
  <c r="AT77" i="2"/>
  <c r="M77" i="3" s="1"/>
  <c r="AT79" i="2"/>
  <c r="M79" i="3" s="1"/>
  <c r="AT81" i="2"/>
  <c r="M81" i="3" s="1"/>
  <c r="AT83" i="2"/>
  <c r="M83" i="3" s="1"/>
  <c r="AT85" i="2"/>
  <c r="M85" i="3" s="1"/>
  <c r="AT87" i="2"/>
  <c r="M87" i="3" s="1"/>
  <c r="AT39" i="2"/>
  <c r="M39" i="3" s="1"/>
  <c r="AT46" i="2"/>
  <c r="M46" i="3" s="1"/>
  <c r="AT47" i="2"/>
  <c r="M47" i="3" s="1"/>
  <c r="AT54" i="2"/>
  <c r="M54" i="3" s="1"/>
  <c r="AT55" i="2"/>
  <c r="M55" i="3" s="1"/>
  <c r="AT62" i="2"/>
  <c r="M62" i="3" s="1"/>
  <c r="AT63" i="2"/>
  <c r="M63" i="3" s="1"/>
  <c r="AT70" i="2"/>
  <c r="M70" i="3" s="1"/>
  <c r="AT71" i="2"/>
  <c r="M71" i="3" s="1"/>
  <c r="AT42" i="2"/>
  <c r="M42" i="3" s="1"/>
  <c r="AT43" i="2"/>
  <c r="M43" i="3" s="1"/>
  <c r="AT50" i="2"/>
  <c r="M50" i="3" s="1"/>
  <c r="AT51" i="2"/>
  <c r="M51" i="3" s="1"/>
  <c r="AT58" i="2"/>
  <c r="M58" i="3" s="1"/>
  <c r="AT59" i="2"/>
  <c r="M59" i="3" s="1"/>
  <c r="AT66" i="2"/>
  <c r="M66" i="3" s="1"/>
  <c r="AT67" i="2"/>
  <c r="M67" i="3" s="1"/>
  <c r="AT74" i="2"/>
  <c r="M74" i="3" s="1"/>
  <c r="AT75" i="2"/>
  <c r="M75" i="3" s="1"/>
  <c r="AT40" i="2"/>
  <c r="M40" i="3" s="1"/>
  <c r="AT65" i="2"/>
  <c r="M65" i="3" s="1"/>
  <c r="AT72" i="2"/>
  <c r="M72" i="3" s="1"/>
  <c r="AT84" i="2"/>
  <c r="M84" i="3" s="1"/>
  <c r="AT90" i="2"/>
  <c r="M90" i="3" s="1"/>
  <c r="AT94" i="2"/>
  <c r="M94" i="3" s="1"/>
  <c r="AT96" i="2"/>
  <c r="M96" i="3" s="1"/>
  <c r="AT98" i="2"/>
  <c r="M98" i="3" s="1"/>
  <c r="AT100" i="2"/>
  <c r="M100" i="3" s="1"/>
  <c r="AT102" i="2"/>
  <c r="M102" i="3" s="1"/>
  <c r="AT104" i="2"/>
  <c r="M104" i="3" s="1"/>
  <c r="AT106" i="2"/>
  <c r="M106" i="3" s="1"/>
  <c r="AT108" i="2"/>
  <c r="M108" i="3" s="1"/>
  <c r="AT41" i="2"/>
  <c r="M41" i="3" s="1"/>
  <c r="AT48" i="2"/>
  <c r="M48" i="3" s="1"/>
  <c r="AT73" i="2"/>
  <c r="M73" i="3" s="1"/>
  <c r="AT82" i="2"/>
  <c r="M82" i="3" s="1"/>
  <c r="AT89" i="2"/>
  <c r="M89" i="3" s="1"/>
  <c r="AT57" i="2"/>
  <c r="M57" i="3" s="1"/>
  <c r="AT64" i="2"/>
  <c r="M64" i="3" s="1"/>
  <c r="AT78" i="2"/>
  <c r="M78" i="3" s="1"/>
  <c r="AT86" i="2"/>
  <c r="M86" i="3" s="1"/>
  <c r="AT91" i="2"/>
  <c r="M91" i="3" s="1"/>
  <c r="AT56" i="2"/>
  <c r="M56" i="3" s="1"/>
  <c r="AT97" i="2"/>
  <c r="M97" i="3" s="1"/>
  <c r="AT105" i="2"/>
  <c r="M105" i="3" s="1"/>
  <c r="AT111" i="2"/>
  <c r="M111" i="3" s="1"/>
  <c r="AT115" i="2"/>
  <c r="M115" i="3" s="1"/>
  <c r="AT119" i="2"/>
  <c r="M119" i="3" s="1"/>
  <c r="AT123" i="2"/>
  <c r="M123" i="3" s="1"/>
  <c r="AT127" i="2"/>
  <c r="M127" i="3" s="1"/>
  <c r="AT131" i="2"/>
  <c r="M131" i="3" s="1"/>
  <c r="AT135" i="2"/>
  <c r="M135" i="3" s="1"/>
  <c r="AT136" i="2"/>
  <c r="M136" i="3" s="1"/>
  <c r="AT38" i="2"/>
  <c r="AT92" i="2"/>
  <c r="M92" i="3" s="1"/>
  <c r="AT95" i="2"/>
  <c r="M95" i="3" s="1"/>
  <c r="AT103" i="2"/>
  <c r="M103" i="3" s="1"/>
  <c r="AT110" i="2"/>
  <c r="M110" i="3" s="1"/>
  <c r="AT114" i="2"/>
  <c r="M114" i="3" s="1"/>
  <c r="AT118" i="2"/>
  <c r="M118" i="3" s="1"/>
  <c r="AT122" i="2"/>
  <c r="M122" i="3" s="1"/>
  <c r="AT126" i="2"/>
  <c r="M126" i="3" s="1"/>
  <c r="AT130" i="2"/>
  <c r="M130" i="3" s="1"/>
  <c r="AT137" i="2"/>
  <c r="M137" i="3" s="1"/>
  <c r="AT80" i="2"/>
  <c r="M80" i="3" s="1"/>
  <c r="AT99" i="2"/>
  <c r="M99" i="3" s="1"/>
  <c r="AT107" i="2"/>
  <c r="M107" i="3" s="1"/>
  <c r="AT112" i="2"/>
  <c r="M112" i="3" s="1"/>
  <c r="AT116" i="2"/>
  <c r="M116" i="3" s="1"/>
  <c r="AT120" i="2"/>
  <c r="M120" i="3" s="1"/>
  <c r="AT124" i="2"/>
  <c r="M124" i="3" s="1"/>
  <c r="AT128" i="2"/>
  <c r="M128" i="3" s="1"/>
  <c r="AT132" i="2"/>
  <c r="M132" i="3" s="1"/>
  <c r="AT133" i="2"/>
  <c r="M133" i="3" s="1"/>
  <c r="AT134" i="2"/>
  <c r="M134" i="3" s="1"/>
  <c r="AT109" i="2"/>
  <c r="M109" i="3" s="1"/>
  <c r="AT125" i="2"/>
  <c r="M125" i="3" s="1"/>
  <c r="AT88" i="2"/>
  <c r="M88" i="3" s="1"/>
  <c r="AT101" i="2"/>
  <c r="M101" i="3" s="1"/>
  <c r="AT121" i="2"/>
  <c r="M121" i="3" s="1"/>
  <c r="AT113" i="2"/>
  <c r="M113" i="3" s="1"/>
  <c r="AT129" i="2"/>
  <c r="M129" i="3" s="1"/>
  <c r="AT93" i="2"/>
  <c r="M93" i="3" s="1"/>
  <c r="AT49" i="2"/>
  <c r="M49" i="3" s="1"/>
  <c r="AT117" i="2"/>
  <c r="M117" i="3" s="1"/>
  <c r="AS139" i="2"/>
  <c r="E47" i="2"/>
  <c r="L46" i="2"/>
  <c r="C45" i="2"/>
  <c r="U46" i="2"/>
  <c r="AC46" i="2" s="1"/>
  <c r="AB43" i="2"/>
  <c r="AG43" i="2" s="1"/>
  <c r="AH43" i="2" s="1"/>
  <c r="AJ43" i="2" a="1"/>
  <c r="AJ43" i="2" s="1"/>
  <c r="AL43" i="2" s="1"/>
  <c r="AM43" i="2" l="1"/>
  <c r="AN43" i="2" s="1"/>
  <c r="M38" i="3"/>
  <c r="AT139" i="2"/>
  <c r="AT140" i="2"/>
  <c r="O47" i="2"/>
  <c r="X47" i="2"/>
  <c r="AF47" i="2" s="1"/>
  <c r="P46" i="2"/>
  <c r="D47" i="2" s="1"/>
  <c r="M47" i="2"/>
  <c r="F48" i="2"/>
  <c r="V47" i="2"/>
  <c r="AD47" i="2" s="1"/>
  <c r="K45" i="2"/>
  <c r="T45" i="2"/>
  <c r="AB44" i="2"/>
  <c r="AG44" i="2" s="1"/>
  <c r="AH44" i="2" s="1"/>
  <c r="AJ44" i="2" a="1"/>
  <c r="AJ44" i="2" s="1"/>
  <c r="AL44" i="2" s="1"/>
  <c r="N47" i="2"/>
  <c r="G48" i="2"/>
  <c r="W47" i="2"/>
  <c r="AE47" i="2" s="1"/>
  <c r="P47" i="2" l="1"/>
  <c r="D48" i="2" s="1"/>
  <c r="G49" i="2"/>
  <c r="N48" i="2"/>
  <c r="W48" i="2"/>
  <c r="AE48" i="2" s="1"/>
  <c r="O48" i="2"/>
  <c r="X48" i="2"/>
  <c r="AF48" i="2" s="1"/>
  <c r="AB45" i="2"/>
  <c r="AG45" i="2" s="1"/>
  <c r="AH45" i="2" s="1"/>
  <c r="AJ45" i="2" a="1"/>
  <c r="AJ45" i="2" s="1"/>
  <c r="AL45" i="2" s="1"/>
  <c r="E48" i="2"/>
  <c r="C46" i="2"/>
  <c r="L47" i="2"/>
  <c r="U47" i="2"/>
  <c r="AC47" i="2" s="1"/>
  <c r="AM44" i="2"/>
  <c r="AN44" i="2" s="1"/>
  <c r="AM45" i="2" l="1"/>
  <c r="AN45" i="2" s="1"/>
  <c r="K46" i="2"/>
  <c r="T46" i="2"/>
  <c r="O49" i="2"/>
  <c r="X49" i="2"/>
  <c r="AF49" i="2" s="1"/>
  <c r="F49" i="2"/>
  <c r="M48" i="2"/>
  <c r="P48" i="2" s="1"/>
  <c r="D49" i="2" s="1"/>
  <c r="V48" i="2"/>
  <c r="AD48" i="2" s="1"/>
  <c r="E49" i="2"/>
  <c r="L48" i="2"/>
  <c r="C47" i="2"/>
  <c r="U48" i="2"/>
  <c r="AC48" i="2" s="1"/>
  <c r="M49" i="2" l="1"/>
  <c r="F50" i="2"/>
  <c r="V49" i="2"/>
  <c r="AD49" i="2" s="1"/>
  <c r="K47" i="2"/>
  <c r="T47" i="2"/>
  <c r="E50" i="2"/>
  <c r="L49" i="2"/>
  <c r="C48" i="2"/>
  <c r="U49" i="2"/>
  <c r="AC49" i="2" s="1"/>
  <c r="AB46" i="2"/>
  <c r="AG46" i="2" s="1"/>
  <c r="AH46" i="2" s="1"/>
  <c r="AJ46" i="2" a="1"/>
  <c r="AJ46" i="2" s="1"/>
  <c r="AL46" i="2" s="1"/>
  <c r="AM46" i="2" s="1"/>
  <c r="AN46" i="2" s="1"/>
  <c r="N49" i="2"/>
  <c r="G50" i="2"/>
  <c r="W49" i="2"/>
  <c r="AE49" i="2" s="1"/>
  <c r="P49" i="2" l="1"/>
  <c r="D50" i="2" s="1"/>
  <c r="L50" i="2" s="1"/>
  <c r="K48" i="2"/>
  <c r="T48" i="2"/>
  <c r="O50" i="2"/>
  <c r="X50" i="2"/>
  <c r="AF50" i="2" s="1"/>
  <c r="AB47" i="2"/>
  <c r="AG47" i="2" s="1"/>
  <c r="AH47" i="2" s="1"/>
  <c r="AJ47" i="2" a="1"/>
  <c r="AJ47" i="2" s="1"/>
  <c r="AL47" i="2" s="1"/>
  <c r="F51" i="2"/>
  <c r="M50" i="2"/>
  <c r="V50" i="2"/>
  <c r="AD50" i="2" s="1"/>
  <c r="G51" i="2"/>
  <c r="N50" i="2"/>
  <c r="W50" i="2"/>
  <c r="AE50" i="2" s="1"/>
  <c r="U50" i="2" l="1"/>
  <c r="AC50" i="2" s="1"/>
  <c r="C49" i="2"/>
  <c r="K49" i="2" s="1"/>
  <c r="E51" i="2"/>
  <c r="V51" i="2" s="1"/>
  <c r="AD51" i="2" s="1"/>
  <c r="AM47" i="2"/>
  <c r="AN47" i="2" s="1"/>
  <c r="P50" i="2"/>
  <c r="D51" i="2" s="1"/>
  <c r="N51" i="2"/>
  <c r="G52" i="2"/>
  <c r="W51" i="2"/>
  <c r="AE51" i="2" s="1"/>
  <c r="O51" i="2"/>
  <c r="X51" i="2"/>
  <c r="AF51" i="2" s="1"/>
  <c r="AB48" i="2"/>
  <c r="AG48" i="2" s="1"/>
  <c r="AH48" i="2" s="1"/>
  <c r="AJ48" i="2" a="1"/>
  <c r="AJ48" i="2" s="1"/>
  <c r="AL48" i="2" s="1"/>
  <c r="F52" i="2" l="1"/>
  <c r="G53" i="2" s="1"/>
  <c r="M51" i="2"/>
  <c r="P51" i="2" s="1"/>
  <c r="D52" i="2" s="1"/>
  <c r="T49" i="2"/>
  <c r="AB49" i="2" s="1"/>
  <c r="AG49" i="2" s="1"/>
  <c r="AH49" i="2" s="1"/>
  <c r="AM48" i="2"/>
  <c r="AN48" i="2" s="1"/>
  <c r="E52" i="2"/>
  <c r="C50" i="2"/>
  <c r="L51" i="2"/>
  <c r="U51" i="2"/>
  <c r="AC51" i="2" s="1"/>
  <c r="O52" i="2"/>
  <c r="X52" i="2"/>
  <c r="AF52" i="2" s="1"/>
  <c r="W52" i="2"/>
  <c r="AE52" i="2" s="1"/>
  <c r="AJ49" i="2" a="1"/>
  <c r="N52" i="2" l="1"/>
  <c r="AJ49" i="2"/>
  <c r="AL49" i="2" s="1"/>
  <c r="AM49" i="2" s="1"/>
  <c r="AN49" i="2" s="1"/>
  <c r="O53" i="2"/>
  <c r="X53" i="2"/>
  <c r="AF53" i="2" s="1"/>
  <c r="K50" i="2"/>
  <c r="T50" i="2"/>
  <c r="E53" i="2"/>
  <c r="L52" i="2"/>
  <c r="C51" i="2"/>
  <c r="U52" i="2"/>
  <c r="AC52" i="2" s="1"/>
  <c r="F53" i="2"/>
  <c r="M52" i="2"/>
  <c r="P52" i="2" s="1"/>
  <c r="D53" i="2" s="1"/>
  <c r="V52" i="2"/>
  <c r="AD52" i="2" s="1"/>
  <c r="K51" i="2" l="1"/>
  <c r="T51" i="2"/>
  <c r="AB50" i="2"/>
  <c r="AG50" i="2" s="1"/>
  <c r="AH50" i="2" s="1"/>
  <c r="AJ50" i="2" a="1"/>
  <c r="AJ50" i="2" s="1"/>
  <c r="AL50" i="2" s="1"/>
  <c r="E54" i="2"/>
  <c r="L53" i="2"/>
  <c r="C52" i="2"/>
  <c r="U53" i="2"/>
  <c r="AC53" i="2" s="1"/>
  <c r="N53" i="2"/>
  <c r="G54" i="2"/>
  <c r="W53" i="2"/>
  <c r="AE53" i="2" s="1"/>
  <c r="M53" i="2"/>
  <c r="F54" i="2"/>
  <c r="V53" i="2"/>
  <c r="AD53" i="2" s="1"/>
  <c r="P53" i="2" l="1"/>
  <c r="D54" i="2" s="1"/>
  <c r="E55" i="2" s="1"/>
  <c r="AM50" i="2"/>
  <c r="AN50" i="2" s="1"/>
  <c r="K52" i="2"/>
  <c r="T52" i="2"/>
  <c r="O54" i="2"/>
  <c r="X54" i="2"/>
  <c r="AF54" i="2" s="1"/>
  <c r="AB51" i="2"/>
  <c r="AG51" i="2" s="1"/>
  <c r="AH51" i="2" s="1"/>
  <c r="AJ51" i="2" a="1"/>
  <c r="AJ51" i="2" s="1"/>
  <c r="AL51" i="2" s="1"/>
  <c r="G55" i="2"/>
  <c r="N54" i="2"/>
  <c r="W54" i="2"/>
  <c r="AE54" i="2" s="1"/>
  <c r="F55" i="2"/>
  <c r="M54" i="2"/>
  <c r="V54" i="2"/>
  <c r="AD54" i="2" s="1"/>
  <c r="P54" i="2" l="1"/>
  <c r="D55" i="2" s="1"/>
  <c r="U55" i="2" s="1"/>
  <c r="AC55" i="2" s="1"/>
  <c r="U54" i="2"/>
  <c r="AC54" i="2" s="1"/>
  <c r="C53" i="2"/>
  <c r="T53" i="2" s="1"/>
  <c r="AM51" i="2"/>
  <c r="AN51" i="2" s="1"/>
  <c r="L54" i="2"/>
  <c r="N55" i="2"/>
  <c r="G56" i="2"/>
  <c r="W55" i="2"/>
  <c r="AE55" i="2" s="1"/>
  <c r="AB52" i="2"/>
  <c r="AG52" i="2" s="1"/>
  <c r="AH52" i="2" s="1"/>
  <c r="AJ52" i="2" a="1"/>
  <c r="AJ52" i="2" s="1"/>
  <c r="AL52" i="2" s="1"/>
  <c r="O55" i="2"/>
  <c r="X55" i="2"/>
  <c r="AF55" i="2" s="1"/>
  <c r="M55" i="2"/>
  <c r="F56" i="2"/>
  <c r="V55" i="2"/>
  <c r="AD55" i="2" s="1"/>
  <c r="L55" i="2" l="1"/>
  <c r="K53" i="2"/>
  <c r="C54" i="2"/>
  <c r="T54" i="2" s="1"/>
  <c r="E56" i="2"/>
  <c r="F57" i="2" s="1"/>
  <c r="AM52" i="2"/>
  <c r="AN52" i="2" s="1"/>
  <c r="P55" i="2"/>
  <c r="D56" i="2" s="1"/>
  <c r="C55" i="2" s="1"/>
  <c r="G57" i="2"/>
  <c r="N56" i="2"/>
  <c r="W56" i="2"/>
  <c r="AE56" i="2" s="1"/>
  <c r="AJ53" i="2" a="1"/>
  <c r="AJ53" i="2" s="1"/>
  <c r="AL53" i="2" s="1"/>
  <c r="AB53" i="2"/>
  <c r="AG53" i="2" s="1"/>
  <c r="AH53" i="2" s="1"/>
  <c r="V56" i="2"/>
  <c r="AD56" i="2" s="1"/>
  <c r="O56" i="2"/>
  <c r="X56" i="2"/>
  <c r="AF56" i="2" s="1"/>
  <c r="E57" i="2" l="1"/>
  <c r="M57" i="2" s="1"/>
  <c r="K54" i="2"/>
  <c r="M56" i="2"/>
  <c r="AM53" i="2"/>
  <c r="AN53" i="2" s="1"/>
  <c r="L56" i="2"/>
  <c r="U56" i="2"/>
  <c r="AC56" i="2" s="1"/>
  <c r="N57" i="2"/>
  <c r="G58" i="2"/>
  <c r="W57" i="2"/>
  <c r="AE57" i="2" s="1"/>
  <c r="AB54" i="2"/>
  <c r="AG54" i="2" s="1"/>
  <c r="AH54" i="2" s="1"/>
  <c r="AJ54" i="2" a="1"/>
  <c r="AJ54" i="2" s="1"/>
  <c r="AL54" i="2" s="1"/>
  <c r="P56" i="2"/>
  <c r="D57" i="2" s="1"/>
  <c r="K55" i="2"/>
  <c r="T55" i="2"/>
  <c r="O57" i="2"/>
  <c r="X57" i="2"/>
  <c r="AF57" i="2" s="1"/>
  <c r="V57" i="2" l="1"/>
  <c r="AD57" i="2" s="1"/>
  <c r="F58" i="2"/>
  <c r="G59" i="2" s="1"/>
  <c r="AM54" i="2"/>
  <c r="AN54" i="2" s="1"/>
  <c r="N58" i="2"/>
  <c r="W58" i="2"/>
  <c r="AE58" i="2" s="1"/>
  <c r="P57" i="2"/>
  <c r="D58" i="2" s="1"/>
  <c r="E58" i="2"/>
  <c r="L57" i="2"/>
  <c r="C56" i="2"/>
  <c r="U57" i="2"/>
  <c r="AC57" i="2" s="1"/>
  <c r="AB55" i="2"/>
  <c r="AG55" i="2" s="1"/>
  <c r="AH55" i="2" s="1"/>
  <c r="AJ55" i="2" a="1"/>
  <c r="AJ55" i="2" s="1"/>
  <c r="AL55" i="2" s="1"/>
  <c r="O58" i="2"/>
  <c r="X58" i="2"/>
  <c r="AF58" i="2" s="1"/>
  <c r="AM55" i="2" l="1"/>
  <c r="AN55" i="2" s="1"/>
  <c r="K56" i="2"/>
  <c r="T56" i="2"/>
  <c r="E59" i="2"/>
  <c r="L58" i="2"/>
  <c r="C57" i="2"/>
  <c r="U58" i="2"/>
  <c r="AC58" i="2" s="1"/>
  <c r="F59" i="2"/>
  <c r="M58" i="2"/>
  <c r="P58" i="2" s="1"/>
  <c r="D59" i="2" s="1"/>
  <c r="V58" i="2"/>
  <c r="AD58" i="2" s="1"/>
  <c r="O59" i="2"/>
  <c r="X59" i="2"/>
  <c r="AF59" i="2" s="1"/>
  <c r="K57" i="2" l="1"/>
  <c r="T57" i="2"/>
  <c r="E60" i="2"/>
  <c r="C58" i="2"/>
  <c r="L59" i="2"/>
  <c r="U59" i="2"/>
  <c r="AC59" i="2" s="1"/>
  <c r="N59" i="2"/>
  <c r="G60" i="2"/>
  <c r="W59" i="2"/>
  <c r="AE59" i="2" s="1"/>
  <c r="M59" i="2"/>
  <c r="F60" i="2"/>
  <c r="V59" i="2"/>
  <c r="AD59" i="2" s="1"/>
  <c r="AB56" i="2"/>
  <c r="AG56" i="2" s="1"/>
  <c r="AH56" i="2" s="1"/>
  <c r="AJ56" i="2" a="1"/>
  <c r="AJ56" i="2" s="1"/>
  <c r="AL56" i="2" s="1"/>
  <c r="AM56" i="2" l="1"/>
  <c r="AN56" i="2" s="1"/>
  <c r="N60" i="2"/>
  <c r="G61" i="2"/>
  <c r="W60" i="2"/>
  <c r="AE60" i="2" s="1"/>
  <c r="O60" i="2"/>
  <c r="X60" i="2"/>
  <c r="AF60" i="2" s="1"/>
  <c r="K58" i="2"/>
  <c r="T58" i="2"/>
  <c r="P59" i="2"/>
  <c r="D60" i="2" s="1"/>
  <c r="AB57" i="2"/>
  <c r="AG57" i="2" s="1"/>
  <c r="AH57" i="2" s="1"/>
  <c r="AJ57" i="2" a="1"/>
  <c r="AJ57" i="2" s="1"/>
  <c r="AL57" i="2" s="1"/>
  <c r="F61" i="2"/>
  <c r="M60" i="2"/>
  <c r="V60" i="2"/>
  <c r="AD60" i="2" s="1"/>
  <c r="P60" i="2" l="1"/>
  <c r="D61" i="2" s="1"/>
  <c r="U61" i="2" s="1"/>
  <c r="N61" i="2"/>
  <c r="W61" i="2"/>
  <c r="E61" i="2"/>
  <c r="C59" i="2"/>
  <c r="L60" i="2"/>
  <c r="U60" i="2"/>
  <c r="AC60" i="2" s="1"/>
  <c r="AM57" i="2"/>
  <c r="AN57" i="2" s="1"/>
  <c r="O61" i="2"/>
  <c r="X61" i="2"/>
  <c r="AB58" i="2"/>
  <c r="AG58" i="2" s="1"/>
  <c r="AH58" i="2" s="1"/>
  <c r="AJ58" i="2" a="1"/>
  <c r="AJ58" i="2" s="1"/>
  <c r="AL58" i="2" s="1"/>
  <c r="L61" i="2" l="1"/>
  <c r="C60" i="2"/>
  <c r="T60" i="2" s="1"/>
  <c r="AX9" i="2"/>
  <c r="AF61" i="2"/>
  <c r="K59" i="2"/>
  <c r="T59" i="2"/>
  <c r="AM58" i="2"/>
  <c r="AN58" i="2" s="1"/>
  <c r="M61" i="2"/>
  <c r="P61" i="2" s="1"/>
  <c r="L13" i="2" s="1"/>
  <c r="V61" i="2"/>
  <c r="AE61" i="2"/>
  <c r="AX8" i="2"/>
  <c r="AC61" i="2"/>
  <c r="AX6" i="2"/>
  <c r="K60" i="2" l="1"/>
  <c r="T61" i="2"/>
  <c r="AB60" i="2"/>
  <c r="AJ60" i="2" a="1"/>
  <c r="AJ60" i="2" s="1"/>
  <c r="AL60" i="2" s="1"/>
  <c r="AX7" i="2"/>
  <c r="AD61" i="2"/>
  <c r="L14" i="2"/>
  <c r="AB59" i="2"/>
  <c r="AG59" i="2" s="1"/>
  <c r="AH59" i="2" s="1"/>
  <c r="AJ59" i="2" a="1"/>
  <c r="AJ59" i="2" s="1"/>
  <c r="AL59" i="2" s="1"/>
  <c r="AB61" i="2" l="1"/>
  <c r="AG61" i="2" s="1"/>
  <c r="AG60" i="2"/>
  <c r="AH60" i="2" s="1"/>
  <c r="AJ61" i="2" a="1"/>
  <c r="AJ61" i="2" s="1"/>
  <c r="AL61" i="2" s="1"/>
  <c r="AX5" i="2"/>
  <c r="AM59" i="2"/>
  <c r="AN59" i="2" s="1"/>
  <c r="AM61" i="2" l="1"/>
  <c r="AN61" i="2" s="1"/>
  <c r="AM60" i="2"/>
  <c r="AN60" i="2" s="1"/>
  <c r="AY5" i="2"/>
  <c r="AZ6" i="2" s="1"/>
  <c r="AY9" i="2"/>
  <c r="AY6" i="2"/>
  <c r="AY8" i="2"/>
  <c r="AY7" i="2"/>
  <c r="L12" i="2"/>
  <c r="AH61" i="2"/>
  <c r="AZ7" i="2" l="1"/>
  <c r="AZ8" i="2" s="1"/>
  <c r="AZ9" i="2" s="1"/>
  <c r="AU41" i="2" l="1"/>
  <c r="AU45" i="2"/>
  <c r="AU49" i="2"/>
  <c r="AU53" i="2"/>
  <c r="AU57" i="2"/>
  <c r="AU59" i="2"/>
  <c r="AU40" i="2"/>
  <c r="AU46" i="2"/>
  <c r="AU51" i="2"/>
  <c r="AU56" i="2"/>
  <c r="AU60" i="2"/>
  <c r="AU64" i="2"/>
  <c r="AU68" i="2"/>
  <c r="AU72" i="2"/>
  <c r="AU76" i="2"/>
  <c r="AU80" i="2"/>
  <c r="AU84" i="2"/>
  <c r="AU88" i="2"/>
  <c r="AU92" i="2"/>
  <c r="AU96" i="2"/>
  <c r="AU100" i="2"/>
  <c r="AU104" i="2"/>
  <c r="AU108" i="2"/>
  <c r="AU112" i="2"/>
  <c r="AU116" i="2"/>
  <c r="AU120" i="2"/>
  <c r="AU124" i="2"/>
  <c r="AU128" i="2"/>
  <c r="AU134" i="2"/>
  <c r="AU42" i="2"/>
  <c r="AU47" i="2"/>
  <c r="AU52" i="2"/>
  <c r="AU58" i="2"/>
  <c r="AU61" i="2"/>
  <c r="AU65" i="2"/>
  <c r="AU69" i="2"/>
  <c r="AU73" i="2"/>
  <c r="AU77" i="2"/>
  <c r="AU81" i="2"/>
  <c r="AU85" i="2"/>
  <c r="AU89" i="2"/>
  <c r="AU93" i="2"/>
  <c r="AU97" i="2"/>
  <c r="AU101" i="2"/>
  <c r="AU105" i="2"/>
  <c r="AU109" i="2"/>
  <c r="AU113" i="2"/>
  <c r="AU117" i="2"/>
  <c r="AU121" i="2"/>
  <c r="AU125" i="2"/>
  <c r="AU129" i="2"/>
  <c r="AU131" i="2"/>
  <c r="AU135" i="2"/>
  <c r="AU137" i="2"/>
  <c r="AU39" i="2"/>
  <c r="AU44" i="2"/>
  <c r="AU50" i="2"/>
  <c r="AU55" i="2"/>
  <c r="AU63" i="2"/>
  <c r="AU67" i="2"/>
  <c r="AU71" i="2"/>
  <c r="AU75" i="2"/>
  <c r="AU79" i="2"/>
  <c r="AU83" i="2"/>
  <c r="AU87" i="2"/>
  <c r="AU91" i="2"/>
  <c r="AU95" i="2"/>
  <c r="AU99" i="2"/>
  <c r="AU103" i="2"/>
  <c r="AU107" i="2"/>
  <c r="AU111" i="2"/>
  <c r="AU115" i="2"/>
  <c r="AU119" i="2"/>
  <c r="AU123" i="2"/>
  <c r="AU127" i="2"/>
  <c r="AU133" i="2"/>
  <c r="AU54" i="2"/>
  <c r="AU70" i="2"/>
  <c r="AU86" i="2"/>
  <c r="AU102" i="2"/>
  <c r="AU118" i="2"/>
  <c r="AU78" i="2"/>
  <c r="AU110" i="2"/>
  <c r="AU38" i="2"/>
  <c r="AU74" i="2"/>
  <c r="AU90" i="2"/>
  <c r="AU106" i="2"/>
  <c r="AU122" i="2"/>
  <c r="AU132" i="2"/>
  <c r="AU43" i="2"/>
  <c r="AU94" i="2"/>
  <c r="AU136" i="2"/>
  <c r="AU48" i="2"/>
  <c r="AU66" i="2"/>
  <c r="AU82" i="2"/>
  <c r="AU98" i="2"/>
  <c r="AU114" i="2"/>
  <c r="AU130" i="2"/>
  <c r="AU62" i="2"/>
  <c r="AU126" i="2"/>
  <c r="AU139" i="2" l="1"/>
  <c r="AU140" i="2"/>
</calcChain>
</file>

<file path=xl/sharedStrings.xml><?xml version="1.0" encoding="utf-8"?>
<sst xmlns="http://schemas.openxmlformats.org/spreadsheetml/2006/main" count="333" uniqueCount="215">
  <si>
    <t>Bmat (&gt;2)</t>
  </si>
  <si>
    <t>R(age 1.5)</t>
  </si>
  <si>
    <t>R(B-H)</t>
  </si>
  <si>
    <t>a</t>
  </si>
  <si>
    <t>b</t>
  </si>
  <si>
    <t>Rbio</t>
  </si>
  <si>
    <t>size-sel</t>
  </si>
  <si>
    <t>size cm</t>
  </si>
  <si>
    <t>Lmax</t>
  </si>
  <si>
    <t>K</t>
  </si>
  <si>
    <t>t0</t>
  </si>
  <si>
    <t>ALK</t>
  </si>
  <si>
    <t>age year</t>
  </si>
  <si>
    <t>age-sel</t>
  </si>
  <si>
    <t>Final</t>
  </si>
  <si>
    <t>year</t>
  </si>
  <si>
    <t>numbers</t>
  </si>
  <si>
    <t>age</t>
  </si>
  <si>
    <t>von Bertalanffy</t>
  </si>
  <si>
    <t>aLW</t>
  </si>
  <si>
    <t>bLW</t>
  </si>
  <si>
    <t>Recruitment</t>
  </si>
  <si>
    <t>Length Weight</t>
  </si>
  <si>
    <t>aBH</t>
  </si>
  <si>
    <t>bBH</t>
  </si>
  <si>
    <t>parameters for Magumba (cm, g)</t>
  </si>
  <si>
    <t>parameters for Magumba (cm, year)</t>
  </si>
  <si>
    <t>parameters for BH recruitment (tons SB age&gt;=2.5; n recruits age 1.5)</t>
  </si>
  <si>
    <t>biomass</t>
  </si>
  <si>
    <t>tons</t>
  </si>
  <si>
    <t>SB</t>
  </si>
  <si>
    <t>Mortality</t>
  </si>
  <si>
    <t>M</t>
  </si>
  <si>
    <t>CATCH</t>
  </si>
  <si>
    <t>boats</t>
  </si>
  <si>
    <t>q</t>
  </si>
  <si>
    <t>effort unit boat.days (boats=244; fishing days &lt;300); F=1.5=&gt;244*300 boat.days)</t>
  </si>
  <si>
    <t>days</t>
  </si>
  <si>
    <t>F</t>
  </si>
  <si>
    <t>SURVIVORS</t>
  </si>
  <si>
    <t>Nt=N0*exp(-Zt)</t>
  </si>
  <si>
    <t>Ft=F*age(t)-sel</t>
  </si>
  <si>
    <t>YIELD</t>
  </si>
  <si>
    <t>Total Yield</t>
  </si>
  <si>
    <t>yield</t>
  </si>
  <si>
    <t>Tbiomass</t>
  </si>
  <si>
    <t>Initial</t>
  </si>
  <si>
    <t>Ct=(Ft/Ft+M)*N0*(1-exp(-(Ft+M)))</t>
  </si>
  <si>
    <t>Scenario</t>
  </si>
  <si>
    <t>NO FISHING</t>
  </si>
  <si>
    <t>FISHING HARD</t>
  </si>
  <si>
    <t>After 30y</t>
  </si>
  <si>
    <t>cpue</t>
  </si>
  <si>
    <t>VBGF</t>
  </si>
  <si>
    <t>mean length</t>
  </si>
  <si>
    <t>Array op.!</t>
  </si>
  <si>
    <t>Revenue</t>
  </si>
  <si>
    <t>pricekga</t>
  </si>
  <si>
    <t>pricekgb</t>
  </si>
  <si>
    <t>cm</t>
  </si>
  <si>
    <t>intercept price-length relation ($,cm)</t>
  </si>
  <si>
    <t>slope price-length relation ($,cm)</t>
  </si>
  <si>
    <t>mean price</t>
  </si>
  <si>
    <t>kg</t>
  </si>
  <si>
    <t>Rev/boat</t>
  </si>
  <si>
    <t>peak selection at 18cm</t>
  </si>
  <si>
    <t>same parameters as above</t>
  </si>
  <si>
    <t>Generate length distributions with a normal distribution</t>
  </si>
  <si>
    <t>generator algorithm: Box-Muller method</t>
  </si>
  <si>
    <t>Cnumbers</t>
  </si>
  <si>
    <t>scale</t>
  </si>
  <si>
    <t>scalecum</t>
  </si>
  <si>
    <t>length</t>
  </si>
  <si>
    <t>sd (10%)</t>
  </si>
  <si>
    <t>fish #</t>
  </si>
  <si>
    <t>length distributions n=100 sample</t>
  </si>
  <si>
    <t>avg</t>
  </si>
  <si>
    <t>stdev</t>
  </si>
  <si>
    <t>SELECTION PATTERN</t>
  </si>
  <si>
    <t>LONG-TERM SOLUTIONS</t>
  </si>
  <si>
    <t>Mean length year 2033</t>
  </si>
  <si>
    <t>fishing days (for 244 boats)</t>
  </si>
  <si>
    <t>peak</t>
  </si>
  <si>
    <t>selectivity</t>
  </si>
  <si>
    <t>gill-net</t>
  </si>
  <si>
    <t>Spawning biomass 2033</t>
  </si>
  <si>
    <t>SB2033/Sbmax  %</t>
  </si>
  <si>
    <t>Yield 2033</t>
  </si>
  <si>
    <t>Total revenue $ pr boat 2033</t>
  </si>
  <si>
    <t>16 cm</t>
  </si>
  <si>
    <t>20 cm</t>
  </si>
  <si>
    <t>partly because of increase in average price of fish</t>
  </si>
  <si>
    <t>small pelagic may require high MBAL, because of environmental driven recruitment</t>
  </si>
  <si>
    <t>18 cm*</t>
  </si>
  <si>
    <t>300*</t>
  </si>
  <si>
    <t>* present conditions</t>
  </si>
  <si>
    <t>CPUE 2033 (kg/boat.day)</t>
  </si>
  <si>
    <t>top20</t>
  </si>
  <si>
    <t>Figures</t>
  </si>
  <si>
    <t>top16cm</t>
  </si>
  <si>
    <t>top18*</t>
  </si>
  <si>
    <t>developed JdS</t>
  </si>
  <si>
    <t>Our fishery in the Bay of Bengal</t>
  </si>
  <si>
    <t>And we are many now, many fishermen have arrived in the last years.</t>
  </si>
  <si>
    <t>Let me tell you about the Reeve's shad, the Fish as we call it here.</t>
  </si>
  <si>
    <t>Before, we would catch other types of fish, but they left us. Where are they?</t>
  </si>
  <si>
    <t xml:space="preserve">But the shad remained here with us. </t>
  </si>
  <si>
    <t>Maybe not so large and tasty as before, but it won't let us starve!</t>
  </si>
  <si>
    <t>YOU ARE THE MANAGER!!!</t>
  </si>
  <si>
    <t>You and twelve other fishery biologists were engaged to help sustaining participatory management programmes in the State of Orissa, India.</t>
  </si>
  <si>
    <t>You were assigned to one of the bay districts where the shad fishery has been taking place for many years.</t>
  </si>
  <si>
    <t>You will have to manage this fishery by trial and error, making use of every kind of traditional knowledge, simple biological indicators, and lots of luck.</t>
  </si>
  <si>
    <t>The fishermen welcomed you as a partner, but they also made it clear that they have the last word regarding their practices.</t>
  </si>
  <si>
    <t>There are presently 244 fishing boats, with a crew of 4 people each, and they go out to sea about 300 days a year.</t>
  </si>
  <si>
    <t>They use 8 gillnets per boat, and these very selective gillnets are all of the same make and have similar selectivity patterns.</t>
  </si>
  <si>
    <t>Very little scientific information exists about this particular fishery that otherwise resembles many other fisheries that your fellow officers were called to help managing.</t>
  </si>
  <si>
    <t xml:space="preserve">This seems to be a large fishing effort, even if a shad is normally a fast grower, and relatively resilient stock. </t>
  </si>
  <si>
    <t>1- Your trial will not last more than three years</t>
  </si>
  <si>
    <t>3- The results will be assessed in the end (and you may be fired then!)</t>
  </si>
  <si>
    <t>5- They will accept to change to another mesh size, but in that case they will be relunctant to fish under 300 days a year</t>
  </si>
  <si>
    <t>2- During those three years there is no possibility for you to change tactics.</t>
  </si>
  <si>
    <t>4- If your plan includes changing fishing gear this will be expensive for them: M$ 8000 pr boat</t>
  </si>
  <si>
    <t>6- If they do not have to change mesh size then they will more easily accept to go out fewer times</t>
  </si>
  <si>
    <r>
      <t xml:space="preserve">The fishermens' council </t>
    </r>
    <r>
      <rPr>
        <sz val="10"/>
        <rFont val="Arial"/>
        <family val="2"/>
      </rPr>
      <t>accepted your suggestions under the following conditions</t>
    </r>
  </si>
  <si>
    <t>They are very busy collecting data and they say they will provide the results of their models in about 3 years time (your luck!)</t>
  </si>
  <si>
    <t>But, they are always late!</t>
  </si>
  <si>
    <r>
      <t>The Research Institute</t>
    </r>
    <r>
      <rPr>
        <sz val="10"/>
        <rFont val="Arial"/>
        <family val="2"/>
      </rPr>
      <t xml:space="preserve"> was not of much help.</t>
    </r>
  </si>
  <si>
    <t>The Technology dept informed you that they have tested the selectivity of the three mesh sizes available in the market:</t>
  </si>
  <si>
    <t>the smaller mesh targets fish 16cm in length, the traditional mesh targets fish 18cm long, and a new one targets fish 20cm long.</t>
  </si>
  <si>
    <t xml:space="preserve">The three nets have exactly the same selectivity profiles, i.e. their selectivity curves are parallel - with 2 or 4 cm intervals. </t>
  </si>
  <si>
    <t>Surely, they will provide you with the annual catch and cpue statistics.</t>
  </si>
  <si>
    <t>This is the source of the most traditional fishery, in every small bay of this large Sea of Bengal.</t>
  </si>
  <si>
    <t>1- a random sample of sizes every year (n=100)</t>
  </si>
  <si>
    <r>
      <t>The fishermen</t>
    </r>
    <r>
      <rPr>
        <sz val="10"/>
        <rFont val="Arial"/>
        <family val="2"/>
      </rPr>
      <t xml:space="preserve"> will provide you with two pieces of important information:</t>
    </r>
  </si>
  <si>
    <t>2- the prices pr kg: larger shad M$18/kg, medium sized M$16/kg</t>
  </si>
  <si>
    <t>You and your colleagues agree to implement different fishery tactics in every</t>
  </si>
  <si>
    <t>bay, stick to them for the three years, and convene in the end to exchange</t>
  </si>
  <si>
    <t>experiences. The fishermen councils will be invited to participate.</t>
  </si>
  <si>
    <t>What to do?</t>
  </si>
  <si>
    <t>It seems that the possible options are to keep, increase or decrease the mesh</t>
  </si>
  <si>
    <t>size, and keep or reduce effort in an equitative way.</t>
  </si>
  <si>
    <t>But remember, you just have one chance.</t>
  </si>
  <si>
    <t>Good Luck</t>
  </si>
  <si>
    <t>Small pelagic, planktonic feeder.</t>
  </si>
  <si>
    <t>Sporadic reports from Myanmar suggest the it reaches 30cm and spawns &gt;18cm</t>
  </si>
  <si>
    <t>Here you have the relevant information for this year (2010).</t>
  </si>
  <si>
    <t>You decide upon the tactics for 2011-2013 (yellow cells) and get information</t>
  </si>
  <si>
    <t>2011-2013</t>
  </si>
  <si>
    <t>boat.days</t>
  </si>
  <si>
    <t>Effort</t>
  </si>
  <si>
    <t>Selectivity</t>
  </si>
  <si>
    <t>today's</t>
  </si>
  <si>
    <t>proposal</t>
  </si>
  <si>
    <t>- present, target fish 18cm</t>
  </si>
  <si>
    <t>Change only yellow cells!</t>
  </si>
  <si>
    <t>RESULTS</t>
  </si>
  <si>
    <t>kg/boat.day</t>
  </si>
  <si>
    <t>Yield</t>
  </si>
  <si>
    <t>Tons</t>
  </si>
  <si>
    <t>mean $</t>
  </si>
  <si>
    <t>boat.year</t>
  </si>
  <si>
    <t>Fishery</t>
  </si>
  <si>
    <t>After selection press F9 for re-calculation</t>
  </si>
  <si>
    <t>Analyse trends, calculate statistics of size (plot)</t>
  </si>
  <si>
    <t>and compare with other management tactics.</t>
  </si>
  <si>
    <t>3- They can halt your management plan at any time if they feel that they are incurring big losses in any year.</t>
  </si>
  <si>
    <t>7- But, they are more than willing to use smaller mesh sizes to catch more fish.</t>
  </si>
  <si>
    <t>STATUS: fsh</t>
  </si>
  <si>
    <t>copy, paste special values onto the yellow band, and slide the selectivity profile (if required).</t>
  </si>
  <si>
    <r>
      <t>The Govt of the Orissa State</t>
    </r>
    <r>
      <rPr>
        <sz val="10"/>
        <rFont val="Arial"/>
        <family val="2"/>
      </rPr>
      <t xml:space="preserve"> has some good news</t>
    </r>
  </si>
  <si>
    <t>Among the 12 or more bays to be managed the State will implement</t>
  </si>
  <si>
    <t>a system of 1 or 2 Fishery Protected Areas. Here you can perform</t>
  </si>
  <si>
    <t>experimental scientific fishing.</t>
  </si>
  <si>
    <t>In the FPA you can test gillnets or any other gear, but, of course, at very low levels of effort.</t>
  </si>
  <si>
    <t>Effort boat.days</t>
  </si>
  <si>
    <t>+10%</t>
  </si>
  <si>
    <t>+20%</t>
  </si>
  <si>
    <t>Gillnet</t>
  </si>
  <si>
    <t>16cm</t>
  </si>
  <si>
    <t>target</t>
  </si>
  <si>
    <t>18cm</t>
  </si>
  <si>
    <t>size</t>
  </si>
  <si>
    <t>20cm</t>
  </si>
  <si>
    <t>My grandfather, my father and I, we have always used gillnets, and we are good at it!</t>
  </si>
  <si>
    <t>Everybody is good at it here in the bay. I dont think we could use another gear.</t>
  </si>
  <si>
    <t>Management of small-scale fisheries</t>
  </si>
  <si>
    <t xml:space="preserve"> - Make a risk statement</t>
  </si>
  <si>
    <t>Notice that you are allowed by the federal authorities to make a reserve. In that reserve use 1 boat for 10 days to make a survey.</t>
  </si>
  <si>
    <t xml:space="preserve"> What would be the development in stock size (cpue) and spawning stock (measured by size distribution)?</t>
  </si>
  <si>
    <t>YOU HAVE ONLY ONE TRIAL!</t>
  </si>
  <si>
    <t>Adaptive management - a matrix to help design your experiment</t>
  </si>
  <si>
    <t>JdS</t>
  </si>
  <si>
    <t>Non-parametric harvest rule</t>
  </si>
  <si>
    <t>The Reeve's shad (Tenualosa reevesi)</t>
  </si>
  <si>
    <t xml:space="preserve"> by Jorge Santos</t>
  </si>
  <si>
    <t>In this course you will be drilled in the provision of advice to management</t>
  </si>
  <si>
    <t>What you should achieve in the present lab</t>
  </si>
  <si>
    <t>Make simple definitions of risk</t>
  </si>
  <si>
    <t>Progression</t>
  </si>
  <si>
    <t>Software</t>
  </si>
  <si>
    <t>Adaptive management</t>
  </si>
  <si>
    <t>In this exercise we provide advice using only empirical observations</t>
  </si>
  <si>
    <t>Utilize non-parametric indicators for management advice</t>
  </si>
  <si>
    <t>Experimental adaptive management of a fishery</t>
  </si>
  <si>
    <t>Read and interpret the interview to an old fisher</t>
  </si>
  <si>
    <t>Develop and test individual harvest rules (1 trial only per player)</t>
  </si>
  <si>
    <t>Given the technical input, the fishery model will re-calculate automatically</t>
  </si>
  <si>
    <t>Further reading</t>
  </si>
  <si>
    <t>In obligatory readings: adaptive management and small-scale fisheries</t>
  </si>
  <si>
    <t>Organize a management experiment. Follow instructions and constraints.</t>
  </si>
  <si>
    <t>Santos, J. 2015. FIΣH IT 1.0 – Student Manual: A Training System for Aquatic Resource Managers. Septentrio Educational 2015(3).</t>
  </si>
  <si>
    <t>DOI: http://dx.doi.org/10.7557/se.2015.3</t>
  </si>
  <si>
    <r>
      <rPr>
        <sz val="10"/>
        <rFont val="Arial"/>
        <family val="2"/>
      </rPr>
      <t xml:space="preserve">This work is licensed under a </t>
    </r>
    <r>
      <rPr>
        <u/>
        <sz val="10"/>
        <color theme="10"/>
        <rFont val="Arial"/>
        <family val="2"/>
      </rPr>
      <t>Creative Commons Attribution 4.0 International License</t>
    </r>
    <r>
      <rPr>
        <sz val="10"/>
        <rFont val="Arial"/>
        <family val="2"/>
      </rPr>
      <t>.</t>
    </r>
  </si>
  <si>
    <t>DOI: http://dx.doi.org/10.7557/8.3604</t>
  </si>
  <si>
    <t>Chapter 9 - Rules for the future: forecasts and hindcasts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</si>
</sst>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&quot;$&quot;#,##0_);[Red]\(&quot;$&quot;#,##0\)"/>
    <numFmt numFmtId="165" formatCode="0.000"/>
    <numFmt numFmtId="166" formatCode="0.0"/>
    <numFmt numFmtId="167" formatCode="0.00000000"/>
    <numFmt numFmtId="168" formatCode="0.000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10"/>
      <color indexed="10"/>
      <name val="Arial"/>
      <family val="2"/>
    </font>
    <font>
      <sz val="16"/>
      <name val="Arial"/>
      <family val="2"/>
    </font>
    <font>
      <b/>
      <sz val="10"/>
      <color indexed="10"/>
      <name val="Arial"/>
      <family val="2"/>
    </font>
    <font>
      <b/>
      <sz val="8"/>
      <name val="Arial"/>
      <family val="2"/>
    </font>
    <font>
      <b/>
      <sz val="16"/>
      <name val="Arial"/>
      <family val="2"/>
    </font>
    <font>
      <sz val="16"/>
      <name val="Lucida Handwriting"/>
      <family val="4"/>
    </font>
    <font>
      <i/>
      <sz val="10"/>
      <name val="Arial"/>
      <family val="2"/>
    </font>
    <font>
      <sz val="8"/>
      <color indexed="12"/>
      <name val="Arial"/>
      <family val="2"/>
    </font>
    <font>
      <sz val="10"/>
      <color indexed="12"/>
      <name val="Arial"/>
      <family val="2"/>
    </font>
    <font>
      <b/>
      <sz val="10"/>
      <color indexed="21"/>
      <name val="Arial"/>
      <family val="2"/>
    </font>
    <font>
      <b/>
      <sz val="10"/>
      <color indexed="12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sz val="10"/>
      <color rgb="FF0070C0"/>
      <name val="Arial"/>
      <family val="2"/>
    </font>
    <font>
      <sz val="20"/>
      <color theme="0"/>
      <name val="Calibri"/>
      <family val="2"/>
      <scheme val="minor"/>
    </font>
    <font>
      <sz val="10"/>
      <name val="MS Sans Serif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u/>
      <sz val="10"/>
      <color theme="1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7">
    <xf numFmtId="0" fontId="0" fillId="0" borderId="0"/>
    <xf numFmtId="0" fontId="18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8" fillId="17" borderId="0" applyNumberFormat="0" applyBorder="0" applyAlignment="0" applyProtection="0"/>
    <xf numFmtId="0" fontId="22" fillId="0" borderId="0"/>
    <xf numFmtId="0" fontId="27" fillId="0" borderId="0" applyNumberFormat="0" applyFill="0" applyBorder="0" applyAlignment="0" applyProtection="0"/>
  </cellStyleXfs>
  <cellXfs count="183">
    <xf numFmtId="0" fontId="0" fillId="0" borderId="0" xfId="0"/>
    <xf numFmtId="2" fontId="0" fillId="0" borderId="0" xfId="0" applyNumberFormat="1"/>
    <xf numFmtId="166" fontId="0" fillId="0" borderId="0" xfId="0" applyNumberFormat="1"/>
    <xf numFmtId="1" fontId="0" fillId="0" borderId="0" xfId="0" applyNumberFormat="1"/>
    <xf numFmtId="2" fontId="0" fillId="2" borderId="0" xfId="0" applyNumberFormat="1" applyFill="1"/>
    <xf numFmtId="0" fontId="0" fillId="3" borderId="0" xfId="0" applyFill="1"/>
    <xf numFmtId="0" fontId="0" fillId="4" borderId="0" xfId="0" applyFill="1"/>
    <xf numFmtId="0" fontId="0" fillId="4" borderId="1" xfId="0" applyFill="1" applyBorder="1"/>
    <xf numFmtId="0" fontId="2" fillId="0" borderId="0" xfId="0" applyFont="1" applyAlignment="1">
      <alignment horizontal="right"/>
    </xf>
    <xf numFmtId="1" fontId="2" fillId="0" borderId="0" xfId="0" applyNumberFormat="1" applyFont="1" applyAlignment="1">
      <alignment horizontal="right"/>
    </xf>
    <xf numFmtId="1" fontId="0" fillId="5" borderId="0" xfId="0" applyNumberFormat="1" applyFill="1"/>
    <xf numFmtId="0" fontId="3" fillId="0" borderId="0" xfId="0" applyFont="1"/>
    <xf numFmtId="11" fontId="0" fillId="4" borderId="0" xfId="0" applyNumberFormat="1" applyFill="1"/>
    <xf numFmtId="2" fontId="0" fillId="3" borderId="0" xfId="0" applyNumberFormat="1" applyFill="1"/>
    <xf numFmtId="1" fontId="4" fillId="0" borderId="0" xfId="0" applyNumberFormat="1" applyFont="1"/>
    <xf numFmtId="0" fontId="4" fillId="0" borderId="0" xfId="0" applyFont="1"/>
    <xf numFmtId="0" fontId="2" fillId="0" borderId="0" xfId="0" applyFont="1"/>
    <xf numFmtId="1" fontId="2" fillId="0" borderId="0" xfId="0" applyNumberFormat="1" applyFont="1"/>
    <xf numFmtId="1" fontId="5" fillId="0" borderId="0" xfId="0" applyNumberFormat="1" applyFont="1"/>
    <xf numFmtId="1" fontId="0" fillId="6" borderId="0" xfId="0" applyNumberFormat="1" applyFill="1"/>
    <xf numFmtId="165" fontId="0" fillId="0" borderId="0" xfId="0" applyNumberFormat="1"/>
    <xf numFmtId="2" fontId="0" fillId="0" borderId="0" xfId="0" applyNumberFormat="1" applyFill="1"/>
    <xf numFmtId="0" fontId="0" fillId="7" borderId="0" xfId="0" applyFill="1"/>
    <xf numFmtId="1" fontId="0" fillId="7" borderId="0" xfId="0" applyNumberFormat="1" applyFill="1"/>
    <xf numFmtId="0" fontId="0" fillId="8" borderId="0" xfId="0" applyFill="1"/>
    <xf numFmtId="0" fontId="6" fillId="0" borderId="0" xfId="0" applyFont="1"/>
    <xf numFmtId="1" fontId="0" fillId="8" borderId="0" xfId="0" applyNumberFormat="1" applyFill="1"/>
    <xf numFmtId="1" fontId="0" fillId="8" borderId="0" xfId="0" applyNumberFormat="1" applyFill="1" applyBorder="1"/>
    <xf numFmtId="1" fontId="0" fillId="8" borderId="2" xfId="0" applyNumberFormat="1" applyFill="1" applyBorder="1"/>
    <xf numFmtId="1" fontId="0" fillId="8" borderId="3" xfId="0" applyNumberFormat="1" applyFill="1" applyBorder="1"/>
    <xf numFmtId="1" fontId="0" fillId="8" borderId="4" xfId="0" applyNumberFormat="1" applyFill="1" applyBorder="1"/>
    <xf numFmtId="0" fontId="0" fillId="3" borderId="5" xfId="0" applyFill="1" applyBorder="1"/>
    <xf numFmtId="1" fontId="4" fillId="8" borderId="0" xfId="0" applyNumberFormat="1" applyFont="1" applyFill="1"/>
    <xf numFmtId="0" fontId="7" fillId="9" borderId="0" xfId="0" applyFont="1" applyFill="1"/>
    <xf numFmtId="166" fontId="0" fillId="9" borderId="0" xfId="0" applyNumberFormat="1" applyFill="1"/>
    <xf numFmtId="0" fontId="0" fillId="0" borderId="0" xfId="0" applyFill="1"/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0" fillId="7" borderId="6" xfId="0" applyFill="1" applyBorder="1"/>
    <xf numFmtId="0" fontId="0" fillId="7" borderId="7" xfId="0" applyFill="1" applyBorder="1"/>
    <xf numFmtId="0" fontId="0" fillId="7" borderId="8" xfId="0" applyFill="1" applyBorder="1"/>
    <xf numFmtId="166" fontId="0" fillId="7" borderId="0" xfId="0" applyNumberFormat="1" applyFill="1" applyBorder="1"/>
    <xf numFmtId="0" fontId="3" fillId="10" borderId="0" xfId="0" applyFont="1" applyFill="1"/>
    <xf numFmtId="0" fontId="3" fillId="10" borderId="9" xfId="0" applyFont="1" applyFill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0" fontId="0" fillId="3" borderId="13" xfId="0" applyFill="1" applyBorder="1"/>
    <xf numFmtId="0" fontId="0" fillId="3" borderId="12" xfId="0" applyFill="1" applyBorder="1"/>
    <xf numFmtId="1" fontId="0" fillId="0" borderId="0" xfId="0" applyNumberFormat="1" applyBorder="1"/>
    <xf numFmtId="166" fontId="0" fillId="7" borderId="14" xfId="0" applyNumberFormat="1" applyFill="1" applyBorder="1"/>
    <xf numFmtId="0" fontId="0" fillId="3" borderId="15" xfId="0" applyFill="1" applyBorder="1"/>
    <xf numFmtId="1" fontId="0" fillId="0" borderId="16" xfId="0" applyNumberFormat="1" applyBorder="1"/>
    <xf numFmtId="0" fontId="0" fillId="0" borderId="16" xfId="0" applyBorder="1"/>
    <xf numFmtId="0" fontId="0" fillId="7" borderId="17" xfId="0" applyFill="1" applyBorder="1"/>
    <xf numFmtId="166" fontId="0" fillId="7" borderId="16" xfId="0" applyNumberFormat="1" applyFill="1" applyBorder="1"/>
    <xf numFmtId="166" fontId="0" fillId="7" borderId="18" xfId="0" applyNumberFormat="1" applyFill="1" applyBorder="1"/>
    <xf numFmtId="0" fontId="8" fillId="0" borderId="0" xfId="0" applyFont="1"/>
    <xf numFmtId="166" fontId="8" fillId="0" borderId="0" xfId="0" applyNumberFormat="1" applyFont="1"/>
    <xf numFmtId="0" fontId="0" fillId="10" borderId="0" xfId="0" applyFill="1"/>
    <xf numFmtId="168" fontId="0" fillId="10" borderId="0" xfId="0" applyNumberFormat="1" applyFill="1"/>
    <xf numFmtId="167" fontId="0" fillId="10" borderId="0" xfId="0" applyNumberFormat="1" applyFill="1"/>
    <xf numFmtId="0" fontId="0" fillId="0" borderId="5" xfId="0" applyBorder="1"/>
    <xf numFmtId="0" fontId="3" fillId="0" borderId="9" xfId="0" applyFont="1" applyBorder="1"/>
    <xf numFmtId="0" fontId="3" fillId="0" borderId="10" xfId="0" applyFont="1" applyBorder="1"/>
    <xf numFmtId="0" fontId="0" fillId="2" borderId="10" xfId="0" applyFill="1" applyBorder="1"/>
    <xf numFmtId="0" fontId="0" fillId="2" borderId="11" xfId="0" applyFill="1" applyBorder="1"/>
    <xf numFmtId="0" fontId="0" fillId="0" borderId="14" xfId="0" applyBorder="1"/>
    <xf numFmtId="0" fontId="0" fillId="2" borderId="12" xfId="0" applyFill="1" applyBorder="1"/>
    <xf numFmtId="166" fontId="0" fillId="0" borderId="9" xfId="0" applyNumberFormat="1" applyBorder="1"/>
    <xf numFmtId="166" fontId="0" fillId="0" borderId="10" xfId="0" applyNumberFormat="1" applyBorder="1"/>
    <xf numFmtId="166" fontId="0" fillId="0" borderId="11" xfId="0" applyNumberFormat="1" applyBorder="1"/>
    <xf numFmtId="166" fontId="0" fillId="0" borderId="0" xfId="0" applyNumberFormat="1" applyBorder="1"/>
    <xf numFmtId="166" fontId="7" fillId="0" borderId="0" xfId="0" applyNumberFormat="1" applyFont="1" applyBorder="1"/>
    <xf numFmtId="166" fontId="0" fillId="0" borderId="14" xfId="0" applyNumberFormat="1" applyBorder="1"/>
    <xf numFmtId="0" fontId="0" fillId="2" borderId="15" xfId="0" applyFill="1" applyBorder="1"/>
    <xf numFmtId="1" fontId="0" fillId="0" borderId="9" xfId="0" applyNumberFormat="1" applyBorder="1"/>
    <xf numFmtId="1" fontId="0" fillId="0" borderId="10" xfId="0" applyNumberFormat="1" applyBorder="1"/>
    <xf numFmtId="1" fontId="0" fillId="0" borderId="11" xfId="0" applyNumberFormat="1" applyBorder="1"/>
    <xf numFmtId="1" fontId="0" fillId="0" borderId="12" xfId="0" applyNumberFormat="1" applyBorder="1"/>
    <xf numFmtId="1" fontId="7" fillId="0" borderId="0" xfId="0" applyNumberFormat="1" applyFont="1" applyBorder="1"/>
    <xf numFmtId="1" fontId="0" fillId="0" borderId="14" xfId="0" applyNumberFormat="1" applyBorder="1"/>
    <xf numFmtId="1" fontId="0" fillId="0" borderId="15" xfId="0" applyNumberFormat="1" applyBorder="1"/>
    <xf numFmtId="1" fontId="0" fillId="0" borderId="18" xfId="0" applyNumberFormat="1" applyBorder="1"/>
    <xf numFmtId="166" fontId="0" fillId="0" borderId="0" xfId="0" applyNumberFormat="1" applyFill="1" applyBorder="1"/>
    <xf numFmtId="1" fontId="0" fillId="0" borderId="0" xfId="0" applyNumberFormat="1" applyFill="1" applyBorder="1"/>
    <xf numFmtId="2" fontId="0" fillId="0" borderId="0" xfId="0" applyNumberFormat="1" applyFill="1" applyBorder="1"/>
    <xf numFmtId="1" fontId="0" fillId="4" borderId="10" xfId="0" applyNumberFormat="1" applyFill="1" applyBorder="1"/>
    <xf numFmtId="1" fontId="0" fillId="4" borderId="0" xfId="0" applyNumberFormat="1" applyFill="1" applyBorder="1"/>
    <xf numFmtId="1" fontId="0" fillId="4" borderId="16" xfId="0" applyNumberFormat="1" applyFill="1" applyBorder="1"/>
    <xf numFmtId="1" fontId="0" fillId="4" borderId="18" xfId="0" applyNumberFormat="1" applyFill="1" applyBorder="1"/>
    <xf numFmtId="1" fontId="0" fillId="4" borderId="9" xfId="0" applyNumberFormat="1" applyFill="1" applyBorder="1"/>
    <xf numFmtId="1" fontId="0" fillId="4" borderId="12" xfId="0" applyNumberFormat="1" applyFill="1" applyBorder="1"/>
    <xf numFmtId="1" fontId="0" fillId="4" borderId="15" xfId="0" applyNumberFormat="1" applyFill="1" applyBorder="1"/>
    <xf numFmtId="166" fontId="0" fillId="4" borderId="15" xfId="0" applyNumberFormat="1" applyFill="1" applyBorder="1"/>
    <xf numFmtId="166" fontId="0" fillId="4" borderId="16" xfId="0" applyNumberFormat="1" applyFill="1" applyBorder="1"/>
    <xf numFmtId="166" fontId="0" fillId="4" borderId="18" xfId="0" applyNumberFormat="1" applyFill="1" applyBorder="1"/>
    <xf numFmtId="166" fontId="0" fillId="4" borderId="12" xfId="0" applyNumberFormat="1" applyFill="1" applyBorder="1"/>
    <xf numFmtId="166" fontId="0" fillId="4" borderId="0" xfId="0" applyNumberFormat="1" applyFill="1" applyBorder="1"/>
    <xf numFmtId="0" fontId="0" fillId="0" borderId="0" xfId="0" applyBorder="1" applyAlignment="1">
      <alignment horizontal="right"/>
    </xf>
    <xf numFmtId="0" fontId="9" fillId="0" borderId="0" xfId="0" applyFont="1"/>
    <xf numFmtId="168" fontId="0" fillId="11" borderId="0" xfId="0" applyNumberFormat="1" applyFill="1"/>
    <xf numFmtId="0" fontId="0" fillId="11" borderId="0" xfId="0" applyFill="1"/>
    <xf numFmtId="167" fontId="0" fillId="11" borderId="0" xfId="0" applyNumberFormat="1" applyFill="1"/>
    <xf numFmtId="1" fontId="0" fillId="11" borderId="0" xfId="0" applyNumberFormat="1" applyFill="1"/>
    <xf numFmtId="2" fontId="0" fillId="11" borderId="0" xfId="0" applyNumberFormat="1" applyFill="1"/>
    <xf numFmtId="0" fontId="10" fillId="11" borderId="0" xfId="0" applyFont="1" applyFill="1"/>
    <xf numFmtId="0" fontId="11" fillId="11" borderId="0" xfId="0" applyFont="1" applyFill="1"/>
    <xf numFmtId="1" fontId="11" fillId="11" borderId="0" xfId="0" applyNumberFormat="1" applyFont="1" applyFill="1"/>
    <xf numFmtId="2" fontId="11" fillId="11" borderId="0" xfId="0" applyNumberFormat="1" applyFont="1" applyFill="1"/>
    <xf numFmtId="0" fontId="3" fillId="11" borderId="0" xfId="0" applyFont="1" applyFill="1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5" xfId="0" applyFill="1" applyBorder="1"/>
    <xf numFmtId="0" fontId="12" fillId="0" borderId="0" xfId="0" quotePrefix="1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5" fillId="3" borderId="0" xfId="0" applyFont="1" applyFill="1"/>
    <xf numFmtId="166" fontId="0" fillId="4" borderId="0" xfId="0" applyNumberFormat="1" applyFill="1"/>
    <xf numFmtId="0" fontId="0" fillId="2" borderId="8" xfId="0" applyFill="1" applyBorder="1" applyAlignment="1">
      <alignment horizontal="center"/>
    </xf>
    <xf numFmtId="0" fontId="0" fillId="2" borderId="8" xfId="0" applyFill="1" applyBorder="1"/>
    <xf numFmtId="0" fontId="0" fillId="2" borderId="0" xfId="0" applyFill="1" applyBorder="1"/>
    <xf numFmtId="0" fontId="0" fillId="0" borderId="8" xfId="0" applyBorder="1"/>
    <xf numFmtId="1" fontId="0" fillId="4" borderId="8" xfId="0" applyNumberFormat="1" applyFill="1" applyBorder="1"/>
    <xf numFmtId="1" fontId="0" fillId="0" borderId="8" xfId="0" applyNumberFormat="1" applyBorder="1"/>
    <xf numFmtId="0" fontId="0" fillId="0" borderId="8" xfId="0" applyBorder="1" applyAlignment="1">
      <alignment horizontal="center"/>
    </xf>
    <xf numFmtId="166" fontId="0" fillId="4" borderId="8" xfId="0" applyNumberFormat="1" applyFill="1" applyBorder="1"/>
    <xf numFmtId="166" fontId="0" fillId="0" borderId="8" xfId="0" applyNumberFormat="1" applyBorder="1"/>
    <xf numFmtId="164" fontId="0" fillId="2" borderId="19" xfId="0" applyNumberFormat="1" applyFill="1" applyBorder="1" applyAlignment="1">
      <alignment horizontal="center"/>
    </xf>
    <xf numFmtId="0" fontId="0" fillId="0" borderId="19" xfId="0" applyBorder="1" applyAlignment="1">
      <alignment horizontal="center"/>
    </xf>
    <xf numFmtId="1" fontId="0" fillId="4" borderId="19" xfId="0" applyNumberFormat="1" applyFill="1" applyBorder="1"/>
    <xf numFmtId="1" fontId="0" fillId="0" borderId="19" xfId="0" applyNumberFormat="1" applyBorder="1"/>
    <xf numFmtId="0" fontId="3" fillId="4" borderId="0" xfId="0" applyFont="1" applyFill="1"/>
    <xf numFmtId="0" fontId="0" fillId="4" borderId="5" xfId="0" applyFill="1" applyBorder="1"/>
    <xf numFmtId="0" fontId="0" fillId="0" borderId="20" xfId="0" applyBorder="1"/>
    <xf numFmtId="0" fontId="0" fillId="2" borderId="21" xfId="0" applyFill="1" applyBorder="1"/>
    <xf numFmtId="0" fontId="0" fillId="12" borderId="19" xfId="0" applyFill="1" applyBorder="1"/>
    <xf numFmtId="9" fontId="0" fillId="12" borderId="8" xfId="0" applyNumberFormat="1" applyFill="1" applyBorder="1" applyAlignment="1">
      <alignment horizontal="center"/>
    </xf>
    <xf numFmtId="9" fontId="0" fillId="12" borderId="0" xfId="0" applyNumberFormat="1" applyFill="1" applyBorder="1" applyAlignment="1">
      <alignment horizontal="center"/>
    </xf>
    <xf numFmtId="0" fontId="0" fillId="12" borderId="0" xfId="0" applyFill="1" applyBorder="1" applyAlignment="1">
      <alignment horizontal="center"/>
    </xf>
    <xf numFmtId="0" fontId="0" fillId="12" borderId="14" xfId="0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12" borderId="22" xfId="0" applyFill="1" applyBorder="1" applyAlignment="1">
      <alignment horizontal="center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13" borderId="27" xfId="0" applyFill="1" applyBorder="1"/>
    <xf numFmtId="0" fontId="0" fillId="0" borderId="28" xfId="0" applyBorder="1"/>
    <xf numFmtId="0" fontId="0" fillId="2" borderId="29" xfId="0" applyFill="1" applyBorder="1"/>
    <xf numFmtId="0" fontId="0" fillId="12" borderId="30" xfId="0" applyFill="1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18" fillId="14" borderId="0" xfId="1"/>
    <xf numFmtId="0" fontId="19" fillId="14" borderId="0" xfId="1" quotePrefix="1" applyFont="1"/>
    <xf numFmtId="0" fontId="17" fillId="0" borderId="0" xfId="0" applyFont="1"/>
    <xf numFmtId="0" fontId="17" fillId="0" borderId="0" xfId="0" quotePrefix="1" applyFont="1"/>
    <xf numFmtId="0" fontId="20" fillId="12" borderId="34" xfId="0" applyFont="1" applyFill="1" applyBorder="1" applyAlignment="1">
      <alignment horizontal="center"/>
    </xf>
    <xf numFmtId="0" fontId="16" fillId="0" borderId="0" xfId="0" applyFont="1"/>
    <xf numFmtId="0" fontId="18" fillId="17" borderId="0" xfId="4"/>
    <xf numFmtId="0" fontId="1" fillId="16" borderId="0" xfId="3"/>
    <xf numFmtId="0" fontId="1" fillId="15" borderId="0" xfId="2"/>
    <xf numFmtId="0" fontId="21" fillId="17" borderId="0" xfId="4" applyFont="1"/>
    <xf numFmtId="0" fontId="19" fillId="14" borderId="0" xfId="1" applyFont="1"/>
    <xf numFmtId="0" fontId="23" fillId="0" borderId="0" xfId="5" applyFont="1"/>
    <xf numFmtId="0" fontId="23" fillId="12" borderId="0" xfId="5" applyFont="1" applyFill="1"/>
    <xf numFmtId="0" fontId="23" fillId="18" borderId="0" xfId="5" applyFont="1" applyFill="1"/>
    <xf numFmtId="0" fontId="24" fillId="12" borderId="0" xfId="5" applyFont="1" applyFill="1"/>
    <xf numFmtId="0" fontId="25" fillId="3" borderId="0" xfId="5" applyFont="1" applyFill="1"/>
    <xf numFmtId="0" fontId="26" fillId="12" borderId="0" xfId="5" applyFont="1" applyFill="1"/>
    <xf numFmtId="0" fontId="23" fillId="3" borderId="0" xfId="5" applyFont="1" applyFill="1"/>
    <xf numFmtId="0" fontId="0" fillId="3" borderId="0" xfId="0" applyFill="1" applyProtection="1">
      <protection locked="0"/>
    </xf>
    <xf numFmtId="0" fontId="27" fillId="0" borderId="0" xfId="6"/>
    <xf numFmtId="0" fontId="16" fillId="0" borderId="0" xfId="6" applyFont="1"/>
    <xf numFmtId="0" fontId="27" fillId="0" borderId="0" xfId="6" applyFont="1"/>
    <xf numFmtId="0" fontId="27" fillId="0" borderId="0" xfId="6" applyFill="1"/>
    <xf numFmtId="0" fontId="0" fillId="2" borderId="8" xfId="0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2" borderId="0" xfId="0" applyFill="1" applyBorder="1" applyAlignment="1">
      <alignment horizontal="center"/>
    </xf>
  </cellXfs>
  <cellStyles count="7">
    <cellStyle name="20% - Accent2" xfId="2" builtinId="34"/>
    <cellStyle name="40% - Accent3" xfId="3" builtinId="39"/>
    <cellStyle name="60% - Accent3" xfId="4" builtinId="40"/>
    <cellStyle name="Accent2" xfId="1" builtinId="33"/>
    <cellStyle name="Hyperlink" xfId="6" builtinId="8"/>
    <cellStyle name="Normal" xfId="0" builtinId="0"/>
    <cellStyle name="Normal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/>
              <a:t>Selectivity pattern gillnets</a:t>
            </a:r>
          </a:p>
        </c:rich>
      </c:tx>
      <c:layout>
        <c:manualLayout>
          <c:xMode val="edge"/>
          <c:yMode val="edge"/>
          <c:x val="0.28402366863905326"/>
          <c:y val="4.18604651162790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343195266272189"/>
          <c:y val="0.25116279069767444"/>
          <c:w val="0.63905325443786987"/>
          <c:h val="0.45581395348837211"/>
        </c:manualLayout>
      </c:layout>
      <c:scatterChart>
        <c:scatterStyle val="lineMarker"/>
        <c:varyColors val="0"/>
        <c:ser>
          <c:idx val="0"/>
          <c:order val="0"/>
          <c:tx>
            <c:strRef>
              <c:f>motor!$B$210</c:f>
              <c:strCache>
                <c:ptCount val="1"/>
                <c:pt idx="0">
                  <c:v>top16cm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motor!$F$209:$Q$209</c:f>
              <c:numCache>
                <c:formatCode>General</c:formatCode>
                <c:ptCount val="12"/>
                <c:pt idx="0">
                  <c:v>8</c:v>
                </c:pt>
                <c:pt idx="1">
                  <c:v>10</c:v>
                </c:pt>
                <c:pt idx="2">
                  <c:v>12</c:v>
                </c:pt>
                <c:pt idx="3">
                  <c:v>14</c:v>
                </c:pt>
                <c:pt idx="4">
                  <c:v>16</c:v>
                </c:pt>
                <c:pt idx="5">
                  <c:v>18</c:v>
                </c:pt>
                <c:pt idx="6">
                  <c:v>20</c:v>
                </c:pt>
                <c:pt idx="7">
                  <c:v>22</c:v>
                </c:pt>
                <c:pt idx="8">
                  <c:v>24</c:v>
                </c:pt>
                <c:pt idx="9">
                  <c:v>26</c:v>
                </c:pt>
                <c:pt idx="10">
                  <c:v>28</c:v>
                </c:pt>
                <c:pt idx="11">
                  <c:v>30</c:v>
                </c:pt>
              </c:numCache>
            </c:numRef>
          </c:xVal>
          <c:yVal>
            <c:numRef>
              <c:f>motor!$F$210:$Q$210</c:f>
              <c:numCache>
                <c:formatCode>General</c:formatCode>
                <c:ptCount val="12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0.9</c:v>
                </c:pt>
                <c:pt idx="4">
                  <c:v>1</c:v>
                </c:pt>
                <c:pt idx="5">
                  <c:v>0.9</c:v>
                </c:pt>
                <c:pt idx="6">
                  <c:v>0.6</c:v>
                </c:pt>
                <c:pt idx="7">
                  <c:v>0.4</c:v>
                </c:pt>
                <c:pt idx="8">
                  <c:v>0.2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motor!$B$211</c:f>
              <c:strCache>
                <c:ptCount val="1"/>
                <c:pt idx="0">
                  <c:v>top18*</c:v>
                </c:pt>
              </c:strCache>
            </c:strRef>
          </c:tx>
          <c:spPr>
            <a:ln w="38100">
              <a:solidFill>
                <a:srgbClr val="800080"/>
              </a:solidFill>
              <a:prstDash val="sysDash"/>
            </a:ln>
          </c:spPr>
          <c:marker>
            <c:symbol val="none"/>
          </c:marker>
          <c:xVal>
            <c:numRef>
              <c:f>motor!$F$209:$Q$209</c:f>
              <c:numCache>
                <c:formatCode>General</c:formatCode>
                <c:ptCount val="12"/>
                <c:pt idx="0">
                  <c:v>8</c:v>
                </c:pt>
                <c:pt idx="1">
                  <c:v>10</c:v>
                </c:pt>
                <c:pt idx="2">
                  <c:v>12</c:v>
                </c:pt>
                <c:pt idx="3">
                  <c:v>14</c:v>
                </c:pt>
                <c:pt idx="4">
                  <c:v>16</c:v>
                </c:pt>
                <c:pt idx="5">
                  <c:v>18</c:v>
                </c:pt>
                <c:pt idx="6">
                  <c:v>20</c:v>
                </c:pt>
                <c:pt idx="7">
                  <c:v>22</c:v>
                </c:pt>
                <c:pt idx="8">
                  <c:v>24</c:v>
                </c:pt>
                <c:pt idx="9">
                  <c:v>26</c:v>
                </c:pt>
                <c:pt idx="10">
                  <c:v>28</c:v>
                </c:pt>
                <c:pt idx="11">
                  <c:v>30</c:v>
                </c:pt>
              </c:numCache>
            </c:numRef>
          </c:xVal>
          <c:yVal>
            <c:numRef>
              <c:f>motor!$F$211:$Q$211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0.05</c:v>
                </c:pt>
                <c:pt idx="3">
                  <c:v>0.1</c:v>
                </c:pt>
                <c:pt idx="4">
                  <c:v>0.9</c:v>
                </c:pt>
                <c:pt idx="5">
                  <c:v>1</c:v>
                </c:pt>
                <c:pt idx="6">
                  <c:v>0.9</c:v>
                </c:pt>
                <c:pt idx="7">
                  <c:v>0.6</c:v>
                </c:pt>
                <c:pt idx="8">
                  <c:v>0.4</c:v>
                </c:pt>
                <c:pt idx="9">
                  <c:v>0.2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motor!$B$212</c:f>
              <c:strCache>
                <c:ptCount val="1"/>
                <c:pt idx="0">
                  <c:v>top20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motor!$F$209:$Q$209</c:f>
              <c:numCache>
                <c:formatCode>General</c:formatCode>
                <c:ptCount val="12"/>
                <c:pt idx="0">
                  <c:v>8</c:v>
                </c:pt>
                <c:pt idx="1">
                  <c:v>10</c:v>
                </c:pt>
                <c:pt idx="2">
                  <c:v>12</c:v>
                </c:pt>
                <c:pt idx="3">
                  <c:v>14</c:v>
                </c:pt>
                <c:pt idx="4">
                  <c:v>16</c:v>
                </c:pt>
                <c:pt idx="5">
                  <c:v>18</c:v>
                </c:pt>
                <c:pt idx="6">
                  <c:v>20</c:v>
                </c:pt>
                <c:pt idx="7">
                  <c:v>22</c:v>
                </c:pt>
                <c:pt idx="8">
                  <c:v>24</c:v>
                </c:pt>
                <c:pt idx="9">
                  <c:v>26</c:v>
                </c:pt>
                <c:pt idx="10">
                  <c:v>28</c:v>
                </c:pt>
                <c:pt idx="11">
                  <c:v>30</c:v>
                </c:pt>
              </c:numCache>
            </c:numRef>
          </c:xVal>
          <c:yVal>
            <c:numRef>
              <c:f>motor!$F$212:$Q$212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0.05</c:v>
                </c:pt>
                <c:pt idx="4">
                  <c:v>0.1</c:v>
                </c:pt>
                <c:pt idx="5">
                  <c:v>0.9</c:v>
                </c:pt>
                <c:pt idx="6">
                  <c:v>1</c:v>
                </c:pt>
                <c:pt idx="7">
                  <c:v>0.9</c:v>
                </c:pt>
                <c:pt idx="8">
                  <c:v>0.6</c:v>
                </c:pt>
                <c:pt idx="9">
                  <c:v>0.4</c:v>
                </c:pt>
                <c:pt idx="10">
                  <c:v>0.2</c:v>
                </c:pt>
                <c:pt idx="11">
                  <c:v>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1227864"/>
        <c:axId val="371957952"/>
      </c:scatterChart>
      <c:valAx>
        <c:axId val="301227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Fish length (cm)</a:t>
                </a:r>
              </a:p>
            </c:rich>
          </c:tx>
          <c:layout>
            <c:manualLayout>
              <c:xMode val="edge"/>
              <c:yMode val="edge"/>
              <c:x val="0.36686390532544377"/>
              <c:y val="0.8325581395348836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71957952"/>
        <c:crosses val="autoZero"/>
        <c:crossBetween val="midCat"/>
      </c:valAx>
      <c:valAx>
        <c:axId val="371957952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Prob retention</a:t>
                </a:r>
              </a:p>
            </c:rich>
          </c:tx>
          <c:layout>
            <c:manualLayout>
              <c:xMode val="edge"/>
              <c:yMode val="edge"/>
              <c:x val="4.7337278106508875E-2"/>
              <c:y val="0.2837209302325581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01227864"/>
        <c:crosses val="autoZero"/>
        <c:crossBetween val="midCat"/>
        <c:minorUnit val="0.0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5680473372781067"/>
          <c:y val="0.33023255813953489"/>
          <c:w val="0.27218934911242609"/>
          <c:h val="0.269767441860465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4531359361329831"/>
          <c:y val="3.305785123966942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1458362473455998"/>
          <c:y val="0.16528970086976172"/>
          <c:w val="0.62500158946123618"/>
          <c:h val="0.7685971090443920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motor!$A$4</c:f>
              <c:strCache>
                <c:ptCount val="1"/>
                <c:pt idx="0">
                  <c:v>size-sel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motor!$B$3:$U$3</c:f>
              <c:numCache>
                <c:formatCode>General</c:formatCode>
                <c:ptCount val="20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  <c:pt idx="8">
                  <c:v>18</c:v>
                </c:pt>
                <c:pt idx="9">
                  <c:v>20</c:v>
                </c:pt>
                <c:pt idx="10">
                  <c:v>22</c:v>
                </c:pt>
                <c:pt idx="11">
                  <c:v>24</c:v>
                </c:pt>
                <c:pt idx="12">
                  <c:v>26</c:v>
                </c:pt>
                <c:pt idx="13">
                  <c:v>28</c:v>
                </c:pt>
                <c:pt idx="14">
                  <c:v>30</c:v>
                </c:pt>
                <c:pt idx="15">
                  <c:v>32</c:v>
                </c:pt>
                <c:pt idx="16">
                  <c:v>34</c:v>
                </c:pt>
                <c:pt idx="17">
                  <c:v>36</c:v>
                </c:pt>
                <c:pt idx="18">
                  <c:v>38</c:v>
                </c:pt>
                <c:pt idx="19">
                  <c:v>40</c:v>
                </c:pt>
              </c:numCache>
            </c:numRef>
          </c:xVal>
          <c:yVal>
            <c:numRef>
              <c:f>motor!$B$4:$U$4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1958736"/>
        <c:axId val="371959128"/>
      </c:scatterChart>
      <c:valAx>
        <c:axId val="371958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71959128"/>
        <c:crosses val="autoZero"/>
        <c:crossBetween val="midCat"/>
      </c:valAx>
      <c:valAx>
        <c:axId val="3719591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71958736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78906441382327208"/>
          <c:y val="0.52341742406166181"/>
          <c:w val="0.97916912729658789"/>
          <c:h val="0.5785141320144899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938792389581064"/>
          <c:y val="9.9264705882352935E-2"/>
          <c:w val="0.68163333230362355"/>
          <c:h val="0.6433823529411765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motor!$AG$37</c:f>
              <c:strCache>
                <c:ptCount val="1"/>
                <c:pt idx="0">
                  <c:v>Total Yield</c:v>
                </c:pt>
              </c:strCache>
            </c:strRef>
          </c:tx>
          <c:spPr>
            <a:ln w="25400">
              <a:pattFill prst="pct75">
                <a:fgClr>
                  <a:srgbClr val="00008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xVal>
            <c:numRef>
              <c:f>motor!$AA$38:$AA$61</c:f>
              <c:numCache>
                <c:formatCode>General</c:formatCode>
                <c:ptCount val="2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</c:numCache>
            </c:numRef>
          </c:xVal>
          <c:yVal>
            <c:numRef>
              <c:f>motor!$AG$38:$AG$61</c:f>
              <c:numCache>
                <c:formatCode>0</c:formatCode>
                <c:ptCount val="24"/>
                <c:pt idx="0">
                  <c:v>1509.2600613297561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motor!$P$37</c:f>
              <c:strCache>
                <c:ptCount val="1"/>
                <c:pt idx="0">
                  <c:v>SB</c:v>
                </c:pt>
              </c:strCache>
            </c:strRef>
          </c:tx>
          <c:spPr>
            <a:ln w="254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xVal>
            <c:numRef>
              <c:f>motor!$AA$38:$AA$61</c:f>
              <c:numCache>
                <c:formatCode>General</c:formatCode>
                <c:ptCount val="2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</c:numCache>
            </c:numRef>
          </c:xVal>
          <c:yVal>
            <c:numRef>
              <c:f>motor!$P$38:$P$61</c:f>
              <c:numCache>
                <c:formatCode>0</c:formatCode>
                <c:ptCount val="24"/>
                <c:pt idx="0">
                  <c:v>618.47632076807599</c:v>
                </c:pt>
                <c:pt idx="1">
                  <c:v>2380.6770736558042</c:v>
                </c:pt>
                <c:pt idx="2">
                  <c:v>3392.78494020782</c:v>
                </c:pt>
                <c:pt idx="3">
                  <c:v>4242.2931520996017</c:v>
                </c:pt>
                <c:pt idx="4">
                  <c:v>4526.4313794557793</c:v>
                </c:pt>
                <c:pt idx="5">
                  <c:v>4695.4025116928478</c:v>
                </c:pt>
                <c:pt idx="6">
                  <c:v>4730.7147593991231</c:v>
                </c:pt>
                <c:pt idx="7">
                  <c:v>4744.8416718293256</c:v>
                </c:pt>
                <c:pt idx="8">
                  <c:v>4749.2958257877644</c:v>
                </c:pt>
                <c:pt idx="9">
                  <c:v>4750.9303852958401</c:v>
                </c:pt>
                <c:pt idx="10">
                  <c:v>4751.3656881082898</c:v>
                </c:pt>
                <c:pt idx="11">
                  <c:v>4751.5227472625675</c:v>
                </c:pt>
                <c:pt idx="12">
                  <c:v>4751.573198318195</c:v>
                </c:pt>
                <c:pt idx="13">
                  <c:v>4751.5898286293641</c:v>
                </c:pt>
                <c:pt idx="14">
                  <c:v>4751.5948726837723</c:v>
                </c:pt>
                <c:pt idx="15">
                  <c:v>4751.5965942694129</c:v>
                </c:pt>
                <c:pt idx="16">
                  <c:v>4751.5971463757551</c:v>
                </c:pt>
                <c:pt idx="17">
                  <c:v>4751.5973246293042</c:v>
                </c:pt>
                <c:pt idx="18">
                  <c:v>4751.5973813747387</c:v>
                </c:pt>
                <c:pt idx="19">
                  <c:v>4751.5974001593022</c:v>
                </c:pt>
                <c:pt idx="20">
                  <c:v>4751.5974061887882</c:v>
                </c:pt>
                <c:pt idx="21">
                  <c:v>4751.5974081352533</c:v>
                </c:pt>
                <c:pt idx="22">
                  <c:v>4751.5974087637851</c:v>
                </c:pt>
                <c:pt idx="23">
                  <c:v>4751.5974089688343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9462048"/>
        <c:axId val="369462440"/>
      </c:scatterChart>
      <c:valAx>
        <c:axId val="369462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YEAR</a:t>
                </a:r>
              </a:p>
            </c:rich>
          </c:tx>
          <c:layout>
            <c:manualLayout>
              <c:xMode val="edge"/>
              <c:yMode val="edge"/>
              <c:x val="0.47142899994643522"/>
              <c:y val="0.860294117647058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9462440"/>
        <c:crosses val="autoZero"/>
        <c:crossBetween val="midCat"/>
      </c:valAx>
      <c:valAx>
        <c:axId val="36946244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YIELD AND SPAWNER BIOMASS</a:t>
                </a:r>
              </a:p>
            </c:rich>
          </c:tx>
          <c:layout>
            <c:manualLayout>
              <c:xMode val="edge"/>
              <c:yMode val="edge"/>
              <c:x val="3.2653061224489799E-2"/>
              <c:y val="4.0441176470588237E-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946204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62857207134822435"/>
          <c:y val="0.35294117647058826"/>
          <c:w val="0.85306208152552365"/>
          <c:h val="0.5110294117647058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/>
              <a:t>B&amp;H recruit</a:t>
            </a:r>
          </a:p>
        </c:rich>
      </c:tx>
      <c:layout>
        <c:manualLayout>
          <c:xMode val="edge"/>
          <c:yMode val="edge"/>
          <c:x val="0.40408206117092504"/>
          <c:y val="3.73134328358208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836756454038239"/>
          <c:y val="0.2425377553232774"/>
          <c:w val="0.54693932053105121"/>
          <c:h val="0.50000091097414112"/>
        </c:manualLayout>
      </c:layout>
      <c:scatterChart>
        <c:scatterStyle val="lineMarker"/>
        <c:varyColors val="0"/>
        <c:ser>
          <c:idx val="1"/>
          <c:order val="0"/>
          <c:tx>
            <c:strRef>
              <c:f>motor!$C$119</c:f>
              <c:strCache>
                <c:ptCount val="1"/>
                <c:pt idx="0">
                  <c:v>R(age 1.5)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motor!$A$120:$A$131</c:f>
              <c:numCache>
                <c:formatCode>General</c:formatCode>
                <c:ptCount val="12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500</c:v>
                </c:pt>
                <c:pt idx="4">
                  <c:v>800</c:v>
                </c:pt>
                <c:pt idx="5">
                  <c:v>1000</c:v>
                </c:pt>
                <c:pt idx="6">
                  <c:v>1200</c:v>
                </c:pt>
                <c:pt idx="7">
                  <c:v>1500</c:v>
                </c:pt>
                <c:pt idx="8">
                  <c:v>2000</c:v>
                </c:pt>
                <c:pt idx="9">
                  <c:v>2500</c:v>
                </c:pt>
                <c:pt idx="10">
                  <c:v>3000</c:v>
                </c:pt>
                <c:pt idx="11">
                  <c:v>4000</c:v>
                </c:pt>
              </c:numCache>
            </c:numRef>
          </c:xVal>
          <c:yVal>
            <c:numRef>
              <c:f>motor!$C$120:$C$131</c:f>
              <c:numCache>
                <c:formatCode>0</c:formatCode>
                <c:ptCount val="12"/>
                <c:pt idx="0">
                  <c:v>0</c:v>
                </c:pt>
                <c:pt idx="1">
                  <c:v>21143421.282513574</c:v>
                </c:pt>
                <c:pt idx="2">
                  <c:v>30963552.948378216</c:v>
                </c:pt>
                <c:pt idx="3">
                  <c:v>42925759.073739849</c:v>
                </c:pt>
                <c:pt idx="4">
                  <c:v>47514887.448563918</c:v>
                </c:pt>
                <c:pt idx="5">
                  <c:v>49270706.504104219</c:v>
                </c:pt>
                <c:pt idx="6">
                  <c:v>50515165.449539497</c:v>
                </c:pt>
                <c:pt idx="7">
                  <c:v>51824117.381439365</c:v>
                </c:pt>
                <c:pt idx="8">
                  <c:v>53202709.102200888</c:v>
                </c:pt>
                <c:pt idx="9">
                  <c:v>54065640.668067075</c:v>
                </c:pt>
                <c:pt idx="10">
                  <c:v>54656650.028175808</c:v>
                </c:pt>
                <c:pt idx="11">
                  <c:v>55413833.656395085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3320496"/>
        <c:axId val="363320104"/>
      </c:scatterChart>
      <c:valAx>
        <c:axId val="363320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Spawner (&gt;2y) biomass tons</a:t>
                </a:r>
              </a:p>
            </c:rich>
          </c:tx>
          <c:layout>
            <c:manualLayout>
              <c:xMode val="edge"/>
              <c:yMode val="edge"/>
              <c:x val="0.30816347956505435"/>
              <c:y val="0.858210522192188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3320104"/>
        <c:crosses val="autoZero"/>
        <c:crossBetween val="midCat"/>
      </c:valAx>
      <c:valAx>
        <c:axId val="3633201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Recr (age 1.5) numbers</a:t>
                </a:r>
              </a:p>
            </c:rich>
          </c:tx>
          <c:layout>
            <c:manualLayout>
              <c:xMode val="edge"/>
              <c:yMode val="edge"/>
              <c:x val="3.2653061224489799E-2"/>
              <c:y val="0.2126869589062561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3320496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8204090203010338"/>
          <c:y val="0.45149332079758686"/>
          <c:w val="0.98367454068241467"/>
          <c:h val="0.533582873036392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/>
              <a:t>Selectivity pattern gillnets</a:t>
            </a:r>
          </a:p>
        </c:rich>
      </c:tx>
      <c:layout>
        <c:manualLayout>
          <c:xMode val="edge"/>
          <c:yMode val="edge"/>
          <c:x val="0.2959185816058707"/>
          <c:y val="3.73134328358208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081646685314378"/>
          <c:y val="0.2425377553232774"/>
          <c:w val="0.69387824246476648"/>
          <c:h val="0.50000091097414112"/>
        </c:manualLayout>
      </c:layout>
      <c:scatterChart>
        <c:scatterStyle val="lineMarker"/>
        <c:varyColors val="0"/>
        <c:ser>
          <c:idx val="0"/>
          <c:order val="0"/>
          <c:tx>
            <c:strRef>
              <c:f>motor!$B$210</c:f>
              <c:strCache>
                <c:ptCount val="1"/>
                <c:pt idx="0">
                  <c:v>top16cm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motor!$F$209:$Q$209</c:f>
              <c:numCache>
                <c:formatCode>General</c:formatCode>
                <c:ptCount val="12"/>
                <c:pt idx="0">
                  <c:v>8</c:v>
                </c:pt>
                <c:pt idx="1">
                  <c:v>10</c:v>
                </c:pt>
                <c:pt idx="2">
                  <c:v>12</c:v>
                </c:pt>
                <c:pt idx="3">
                  <c:v>14</c:v>
                </c:pt>
                <c:pt idx="4">
                  <c:v>16</c:v>
                </c:pt>
                <c:pt idx="5">
                  <c:v>18</c:v>
                </c:pt>
                <c:pt idx="6">
                  <c:v>20</c:v>
                </c:pt>
                <c:pt idx="7">
                  <c:v>22</c:v>
                </c:pt>
                <c:pt idx="8">
                  <c:v>24</c:v>
                </c:pt>
                <c:pt idx="9">
                  <c:v>26</c:v>
                </c:pt>
                <c:pt idx="10">
                  <c:v>28</c:v>
                </c:pt>
                <c:pt idx="11">
                  <c:v>30</c:v>
                </c:pt>
              </c:numCache>
            </c:numRef>
          </c:xVal>
          <c:yVal>
            <c:numRef>
              <c:f>motor!$F$210:$Q$210</c:f>
              <c:numCache>
                <c:formatCode>General</c:formatCode>
                <c:ptCount val="12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0.9</c:v>
                </c:pt>
                <c:pt idx="4">
                  <c:v>1</c:v>
                </c:pt>
                <c:pt idx="5">
                  <c:v>0.9</c:v>
                </c:pt>
                <c:pt idx="6">
                  <c:v>0.6</c:v>
                </c:pt>
                <c:pt idx="7">
                  <c:v>0.4</c:v>
                </c:pt>
                <c:pt idx="8">
                  <c:v>0.2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motor!$B$211</c:f>
              <c:strCache>
                <c:ptCount val="1"/>
                <c:pt idx="0">
                  <c:v>top18*</c:v>
                </c:pt>
              </c:strCache>
            </c:strRef>
          </c:tx>
          <c:spPr>
            <a:ln w="38100">
              <a:solidFill>
                <a:srgbClr val="800080"/>
              </a:solidFill>
              <a:prstDash val="sysDash"/>
            </a:ln>
          </c:spPr>
          <c:marker>
            <c:symbol val="none"/>
          </c:marker>
          <c:xVal>
            <c:numRef>
              <c:f>motor!$F$209:$Q$209</c:f>
              <c:numCache>
                <c:formatCode>General</c:formatCode>
                <c:ptCount val="12"/>
                <c:pt idx="0">
                  <c:v>8</c:v>
                </c:pt>
                <c:pt idx="1">
                  <c:v>10</c:v>
                </c:pt>
                <c:pt idx="2">
                  <c:v>12</c:v>
                </c:pt>
                <c:pt idx="3">
                  <c:v>14</c:v>
                </c:pt>
                <c:pt idx="4">
                  <c:v>16</c:v>
                </c:pt>
                <c:pt idx="5">
                  <c:v>18</c:v>
                </c:pt>
                <c:pt idx="6">
                  <c:v>20</c:v>
                </c:pt>
                <c:pt idx="7">
                  <c:v>22</c:v>
                </c:pt>
                <c:pt idx="8">
                  <c:v>24</c:v>
                </c:pt>
                <c:pt idx="9">
                  <c:v>26</c:v>
                </c:pt>
                <c:pt idx="10">
                  <c:v>28</c:v>
                </c:pt>
                <c:pt idx="11">
                  <c:v>30</c:v>
                </c:pt>
              </c:numCache>
            </c:numRef>
          </c:xVal>
          <c:yVal>
            <c:numRef>
              <c:f>motor!$F$211:$Q$211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0.05</c:v>
                </c:pt>
                <c:pt idx="3">
                  <c:v>0.1</c:v>
                </c:pt>
                <c:pt idx="4">
                  <c:v>0.9</c:v>
                </c:pt>
                <c:pt idx="5">
                  <c:v>1</c:v>
                </c:pt>
                <c:pt idx="6">
                  <c:v>0.9</c:v>
                </c:pt>
                <c:pt idx="7">
                  <c:v>0.6</c:v>
                </c:pt>
                <c:pt idx="8">
                  <c:v>0.4</c:v>
                </c:pt>
                <c:pt idx="9">
                  <c:v>0.2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motor!$B$212</c:f>
              <c:strCache>
                <c:ptCount val="1"/>
                <c:pt idx="0">
                  <c:v>top20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motor!$F$209:$Q$209</c:f>
              <c:numCache>
                <c:formatCode>General</c:formatCode>
                <c:ptCount val="12"/>
                <c:pt idx="0">
                  <c:v>8</c:v>
                </c:pt>
                <c:pt idx="1">
                  <c:v>10</c:v>
                </c:pt>
                <c:pt idx="2">
                  <c:v>12</c:v>
                </c:pt>
                <c:pt idx="3">
                  <c:v>14</c:v>
                </c:pt>
                <c:pt idx="4">
                  <c:v>16</c:v>
                </c:pt>
                <c:pt idx="5">
                  <c:v>18</c:v>
                </c:pt>
                <c:pt idx="6">
                  <c:v>20</c:v>
                </c:pt>
                <c:pt idx="7">
                  <c:v>22</c:v>
                </c:pt>
                <c:pt idx="8">
                  <c:v>24</c:v>
                </c:pt>
                <c:pt idx="9">
                  <c:v>26</c:v>
                </c:pt>
                <c:pt idx="10">
                  <c:v>28</c:v>
                </c:pt>
                <c:pt idx="11">
                  <c:v>30</c:v>
                </c:pt>
              </c:numCache>
            </c:numRef>
          </c:xVal>
          <c:yVal>
            <c:numRef>
              <c:f>motor!$F$212:$Q$212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0.05</c:v>
                </c:pt>
                <c:pt idx="4">
                  <c:v>0.1</c:v>
                </c:pt>
                <c:pt idx="5">
                  <c:v>0.9</c:v>
                </c:pt>
                <c:pt idx="6">
                  <c:v>1</c:v>
                </c:pt>
                <c:pt idx="7">
                  <c:v>0.9</c:v>
                </c:pt>
                <c:pt idx="8">
                  <c:v>0.6</c:v>
                </c:pt>
                <c:pt idx="9">
                  <c:v>0.4</c:v>
                </c:pt>
                <c:pt idx="10">
                  <c:v>0.2</c:v>
                </c:pt>
                <c:pt idx="11">
                  <c:v>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9462832"/>
        <c:axId val="369463224"/>
      </c:scatterChart>
      <c:valAx>
        <c:axId val="369462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Fish length (cm)</a:t>
                </a:r>
              </a:p>
            </c:rich>
          </c:tx>
          <c:layout>
            <c:manualLayout>
              <c:xMode val="edge"/>
              <c:yMode val="edge"/>
              <c:x val="0.38163308157908832"/>
              <c:y val="0.858210522192188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9463224"/>
        <c:crosses val="autoZero"/>
        <c:crossBetween val="midCat"/>
      </c:valAx>
      <c:valAx>
        <c:axId val="369463224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Prob retention</a:t>
                </a:r>
              </a:p>
            </c:rich>
          </c:tx>
          <c:layout>
            <c:manualLayout>
              <c:xMode val="edge"/>
              <c:yMode val="edge"/>
              <c:x val="3.2653061224489799E-2"/>
              <c:y val="0.3171645708465546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9462832"/>
        <c:crosses val="autoZero"/>
        <c:crossBetween val="midCat"/>
        <c:minorUnit val="0.0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70000064277679586"/>
          <c:y val="0.35447839542445253"/>
          <c:w val="0.90816412234185018"/>
          <c:h val="0.5932847573157832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image" Target="../media/image6.emf"/><Relationship Id="rId1" Type="http://schemas.openxmlformats.org/officeDocument/2006/relationships/chart" Target="../charts/chart2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581025</xdr:colOff>
      <xdr:row>2</xdr:row>
      <xdr:rowOff>9525</xdr:rowOff>
    </xdr:from>
    <xdr:to>
      <xdr:col>13</xdr:col>
      <xdr:colOff>180975</xdr:colOff>
      <xdr:row>14</xdr:row>
      <xdr:rowOff>123825</xdr:rowOff>
    </xdr:to>
    <xdr:pic>
      <xdr:nvPicPr>
        <xdr:cNvPr id="1034" name="Picture 2" descr="Fisherman Beng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333375"/>
          <a:ext cx="3257550" cy="2171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276225</xdr:colOff>
      <xdr:row>49</xdr:row>
      <xdr:rowOff>47625</xdr:rowOff>
    </xdr:from>
    <xdr:to>
      <xdr:col>12</xdr:col>
      <xdr:colOff>152400</xdr:colOff>
      <xdr:row>63</xdr:row>
      <xdr:rowOff>123825</xdr:rowOff>
    </xdr:to>
    <xdr:pic>
      <xdr:nvPicPr>
        <xdr:cNvPr id="1035" name="Picture 3" descr="Fishermen Bengal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8096250"/>
          <a:ext cx="3533775" cy="234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104775</xdr:colOff>
      <xdr:row>0</xdr:row>
      <xdr:rowOff>304800</xdr:rowOff>
    </xdr:from>
    <xdr:to>
      <xdr:col>14</xdr:col>
      <xdr:colOff>19050</xdr:colOff>
      <xdr:row>9</xdr:row>
      <xdr:rowOff>152400</xdr:rowOff>
    </xdr:to>
    <xdr:pic>
      <xdr:nvPicPr>
        <xdr:cNvPr id="3082" name="Picture 1" descr="Reeve's shad Tenualosa reevesii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57725" y="304800"/>
          <a:ext cx="2009775" cy="1504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9525</xdr:colOff>
      <xdr:row>10</xdr:row>
      <xdr:rowOff>47625</xdr:rowOff>
    </xdr:from>
    <xdr:to>
      <xdr:col>16</xdr:col>
      <xdr:colOff>295275</xdr:colOff>
      <xdr:row>22</xdr:row>
      <xdr:rowOff>152400</xdr:rowOff>
    </xdr:to>
    <xdr:graphicFrame macro="">
      <xdr:nvGraphicFramePr>
        <xdr:cNvPr id="308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6</xdr:row>
      <xdr:rowOff>19050</xdr:rowOff>
    </xdr:from>
    <xdr:to>
      <xdr:col>1</xdr:col>
      <xdr:colOff>161925</xdr:colOff>
      <xdr:row>7</xdr:row>
      <xdr:rowOff>0</xdr:rowOff>
    </xdr:to>
    <xdr:pic>
      <xdr:nvPicPr>
        <xdr:cNvPr id="2" name="Picture 13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90600"/>
          <a:ext cx="762000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428625</xdr:colOff>
      <xdr:row>5</xdr:row>
      <xdr:rowOff>66675</xdr:rowOff>
    </xdr:from>
    <xdr:to>
      <xdr:col>21</xdr:col>
      <xdr:colOff>276225</xdr:colOff>
      <xdr:row>26</xdr:row>
      <xdr:rowOff>66675</xdr:rowOff>
    </xdr:to>
    <xdr:graphicFrame macro="">
      <xdr:nvGraphicFramePr>
        <xdr:cNvPr id="208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64</xdr:row>
      <xdr:rowOff>142875</xdr:rowOff>
    </xdr:from>
    <xdr:to>
      <xdr:col>5</xdr:col>
      <xdr:colOff>238125</xdr:colOff>
      <xdr:row>70</xdr:row>
      <xdr:rowOff>28575</xdr:rowOff>
    </xdr:to>
    <xdr:pic>
      <xdr:nvPicPr>
        <xdr:cNvPr id="208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610850"/>
          <a:ext cx="381952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190500</xdr:colOff>
      <xdr:row>16</xdr:row>
      <xdr:rowOff>38100</xdr:rowOff>
    </xdr:from>
    <xdr:to>
      <xdr:col>14</xdr:col>
      <xdr:colOff>533400</xdr:colOff>
      <xdr:row>32</xdr:row>
      <xdr:rowOff>0</xdr:rowOff>
    </xdr:to>
    <xdr:graphicFrame macro="">
      <xdr:nvGraphicFramePr>
        <xdr:cNvPr id="208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133350</xdr:colOff>
      <xdr:row>20</xdr:row>
      <xdr:rowOff>114300</xdr:rowOff>
    </xdr:from>
    <xdr:to>
      <xdr:col>24</xdr:col>
      <xdr:colOff>581025</xdr:colOff>
      <xdr:row>30</xdr:row>
      <xdr:rowOff>28575</xdr:rowOff>
    </xdr:to>
    <xdr:sp macro="" textlink="">
      <xdr:nvSpPr>
        <xdr:cNvPr id="2087" name="Oval 5"/>
        <xdr:cNvSpPr>
          <a:spLocks noChangeArrowheads="1"/>
        </xdr:cNvSpPr>
      </xdr:nvSpPr>
      <xdr:spPr bwMode="auto">
        <a:xfrm>
          <a:off x="11163300" y="3409950"/>
          <a:ext cx="4914900" cy="1552575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>
            <a:alpha val="25098"/>
          </a:srgb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638175</xdr:colOff>
          <xdr:row>65</xdr:row>
          <xdr:rowOff>152400</xdr:rowOff>
        </xdr:from>
        <xdr:to>
          <xdr:col>11</xdr:col>
          <xdr:colOff>219075</xdr:colOff>
          <xdr:row>70</xdr:row>
          <xdr:rowOff>114300</xdr:rowOff>
        </xdr:to>
        <xdr:sp macro="" textlink="">
          <xdr:nvSpPr>
            <xdr:cNvPr id="2054" name="Bilde 13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 mc:Ignorable="a14" a14:legacySpreadsheetColorIndex="26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4</xdr:col>
      <xdr:colOff>438150</xdr:colOff>
      <xdr:row>116</xdr:row>
      <xdr:rowOff>152400</xdr:rowOff>
    </xdr:from>
    <xdr:to>
      <xdr:col>11</xdr:col>
      <xdr:colOff>600075</xdr:colOff>
      <xdr:row>132</xdr:row>
      <xdr:rowOff>114300</xdr:rowOff>
    </xdr:to>
    <xdr:graphicFrame macro="">
      <xdr:nvGraphicFramePr>
        <xdr:cNvPr id="2088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333375</xdr:colOff>
      <xdr:row>188</xdr:row>
      <xdr:rowOff>247650</xdr:rowOff>
    </xdr:from>
    <xdr:to>
      <xdr:col>12</xdr:col>
      <xdr:colOff>600075</xdr:colOff>
      <xdr:row>204</xdr:row>
      <xdr:rowOff>114300</xdr:rowOff>
    </xdr:to>
    <xdr:graphicFrame macro="">
      <xdr:nvGraphicFramePr>
        <xdr:cNvPr id="2089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http://dx.doi.org/10.7557/8.3514" TargetMode="External"/><Relationship Id="rId1" Type="http://schemas.openxmlformats.org/officeDocument/2006/relationships/hyperlink" Target="http://creativecommons.org/licenses/by/4.0/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5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46"/>
  <sheetViews>
    <sheetView tabSelected="1" zoomScale="180" zoomScaleNormal="180" workbookViewId="0"/>
  </sheetViews>
  <sheetFormatPr defaultRowHeight="12.75" x14ac:dyDescent="0.2"/>
  <cols>
    <col min="1" max="9" width="9.140625" style="168"/>
    <col min="10" max="10" width="9.140625" style="170"/>
    <col min="11" max="16384" width="9.140625" style="168"/>
  </cols>
  <sheetData>
    <row r="1" spans="1:10" ht="23.25" x14ac:dyDescent="0.35">
      <c r="A1" s="167" t="s">
        <v>200</v>
      </c>
      <c r="B1" s="167"/>
      <c r="C1" s="167"/>
      <c r="D1" s="167"/>
      <c r="E1" s="157"/>
      <c r="F1" s="157"/>
      <c r="G1" s="157" t="s">
        <v>194</v>
      </c>
      <c r="H1" s="157"/>
      <c r="I1" s="157"/>
      <c r="J1" s="157"/>
    </row>
    <row r="2" spans="1:10" x14ac:dyDescent="0.2">
      <c r="A2" s="169"/>
      <c r="B2" s="169"/>
      <c r="C2" s="169"/>
      <c r="D2" s="169"/>
      <c r="E2" s="169"/>
      <c r="G2" s="169"/>
      <c r="H2" s="169"/>
      <c r="I2" s="169"/>
    </row>
    <row r="3" spans="1:10" x14ac:dyDescent="0.2">
      <c r="A3" s="169"/>
      <c r="B3" s="171" t="s">
        <v>195</v>
      </c>
      <c r="C3" s="169"/>
      <c r="D3" s="169"/>
      <c r="E3" s="169"/>
      <c r="G3" s="169"/>
      <c r="H3" s="169"/>
      <c r="I3" s="169"/>
    </row>
    <row r="4" spans="1:10" x14ac:dyDescent="0.2">
      <c r="A4" s="169"/>
      <c r="B4" s="171" t="s">
        <v>201</v>
      </c>
      <c r="C4" s="169"/>
      <c r="D4" s="169"/>
      <c r="E4" s="169"/>
      <c r="G4" s="169"/>
      <c r="H4" s="169"/>
      <c r="I4" s="169"/>
    </row>
    <row r="5" spans="1:10" x14ac:dyDescent="0.2">
      <c r="A5" s="169"/>
      <c r="B5" s="171"/>
      <c r="C5" s="169"/>
      <c r="D5" s="169"/>
      <c r="E5" s="169"/>
      <c r="G5" s="169"/>
      <c r="H5" s="169"/>
      <c r="I5" s="169"/>
    </row>
    <row r="6" spans="1:10" x14ac:dyDescent="0.2">
      <c r="A6" s="169"/>
      <c r="B6" s="169"/>
      <c r="C6" s="169"/>
      <c r="D6" s="169"/>
      <c r="E6" s="169"/>
      <c r="G6" s="169"/>
      <c r="H6" s="169"/>
      <c r="I6" s="169"/>
    </row>
    <row r="7" spans="1:10" x14ac:dyDescent="0.2">
      <c r="B7" s="172" t="s">
        <v>196</v>
      </c>
      <c r="C7" s="172"/>
      <c r="D7" s="172"/>
      <c r="E7" s="172"/>
      <c r="F7" s="172"/>
      <c r="G7" s="172"/>
      <c r="H7" s="172"/>
      <c r="I7" s="169"/>
    </row>
    <row r="8" spans="1:10" x14ac:dyDescent="0.2">
      <c r="A8" s="169"/>
      <c r="B8" s="173" t="s">
        <v>202</v>
      </c>
      <c r="C8" s="169"/>
      <c r="D8" s="169"/>
      <c r="E8" s="169"/>
      <c r="F8" s="169"/>
      <c r="G8" s="169"/>
      <c r="H8" s="169"/>
      <c r="I8" s="169"/>
    </row>
    <row r="9" spans="1:10" x14ac:dyDescent="0.2">
      <c r="A9" s="169"/>
      <c r="B9" s="173" t="s">
        <v>203</v>
      </c>
      <c r="C9" s="169"/>
      <c r="D9" s="169"/>
      <c r="E9" s="169"/>
      <c r="F9" s="169"/>
      <c r="G9" s="169"/>
      <c r="H9" s="169"/>
      <c r="I9" s="169"/>
    </row>
    <row r="10" spans="1:10" x14ac:dyDescent="0.2">
      <c r="A10" s="169"/>
      <c r="B10" s="173" t="s">
        <v>197</v>
      </c>
      <c r="C10" s="169"/>
      <c r="D10" s="169"/>
      <c r="E10" s="169"/>
      <c r="F10" s="169"/>
      <c r="G10" s="169"/>
      <c r="H10" s="169"/>
      <c r="I10" s="169"/>
    </row>
    <row r="11" spans="1:10" x14ac:dyDescent="0.2">
      <c r="A11" s="169"/>
      <c r="B11" s="169"/>
      <c r="C11" s="169"/>
      <c r="D11" s="169"/>
      <c r="E11" s="169"/>
      <c r="F11" s="169"/>
      <c r="G11" s="169"/>
      <c r="H11" s="169"/>
      <c r="I11" s="169"/>
    </row>
    <row r="12" spans="1:10" x14ac:dyDescent="0.2">
      <c r="A12" s="169"/>
      <c r="B12" s="172" t="s">
        <v>198</v>
      </c>
      <c r="C12" s="174"/>
      <c r="D12" s="174"/>
      <c r="E12" s="174"/>
      <c r="F12" s="174"/>
      <c r="G12" s="174"/>
      <c r="H12" s="174"/>
      <c r="I12" s="169"/>
    </row>
    <row r="13" spans="1:10" x14ac:dyDescent="0.2">
      <c r="A13" s="169"/>
      <c r="B13" s="173" t="s">
        <v>204</v>
      </c>
      <c r="C13" s="169"/>
      <c r="D13" s="169"/>
      <c r="E13" s="169"/>
      <c r="F13" s="169"/>
      <c r="G13" s="169"/>
      <c r="H13" s="169"/>
      <c r="I13" s="169"/>
    </row>
    <row r="14" spans="1:10" x14ac:dyDescent="0.2">
      <c r="A14" s="169"/>
      <c r="B14" s="173" t="s">
        <v>209</v>
      </c>
      <c r="C14" s="169"/>
      <c r="D14" s="169"/>
      <c r="E14" s="169"/>
      <c r="F14" s="169"/>
      <c r="G14" s="169"/>
      <c r="H14" s="169"/>
      <c r="I14" s="169"/>
    </row>
    <row r="15" spans="1:10" s="170" customFormat="1" x14ac:dyDescent="0.2">
      <c r="A15" s="169"/>
      <c r="B15" s="173" t="s">
        <v>205</v>
      </c>
      <c r="C15" s="169"/>
      <c r="D15" s="169"/>
      <c r="E15" s="169"/>
      <c r="F15" s="169"/>
      <c r="G15" s="169"/>
      <c r="H15" s="169"/>
      <c r="I15" s="169"/>
    </row>
    <row r="16" spans="1:10" s="170" customFormat="1" x14ac:dyDescent="0.2">
      <c r="A16" s="169"/>
      <c r="B16" s="171"/>
      <c r="C16" s="169"/>
      <c r="D16" s="169"/>
      <c r="E16" s="169"/>
      <c r="F16" s="169"/>
      <c r="G16" s="169"/>
      <c r="H16" s="169"/>
      <c r="I16" s="169"/>
    </row>
    <row r="17" spans="1:9" s="170" customFormat="1" x14ac:dyDescent="0.2">
      <c r="A17" s="169"/>
      <c r="B17" s="172" t="s">
        <v>199</v>
      </c>
      <c r="C17" s="174"/>
      <c r="D17" s="174"/>
      <c r="E17" s="174"/>
      <c r="F17" s="174"/>
      <c r="G17" s="174"/>
      <c r="H17" s="174"/>
      <c r="I17" s="169"/>
    </row>
    <row r="18" spans="1:9" s="170" customFormat="1" x14ac:dyDescent="0.2">
      <c r="A18" s="169"/>
      <c r="B18" s="173" t="s">
        <v>206</v>
      </c>
      <c r="C18" s="169"/>
      <c r="D18" s="169"/>
      <c r="E18" s="169"/>
      <c r="F18" s="169"/>
      <c r="G18" s="169"/>
      <c r="H18" s="169"/>
      <c r="I18" s="169"/>
    </row>
    <row r="19" spans="1:9" s="170" customFormat="1" x14ac:dyDescent="0.2">
      <c r="A19" s="169"/>
      <c r="B19" s="169"/>
      <c r="C19" s="169"/>
      <c r="D19" s="169"/>
      <c r="E19" s="169"/>
      <c r="F19" s="169"/>
      <c r="G19" s="169"/>
      <c r="H19" s="169"/>
      <c r="I19" s="169"/>
    </row>
    <row r="20" spans="1:9" s="170" customFormat="1" x14ac:dyDescent="0.2">
      <c r="A20" s="169"/>
      <c r="B20" s="172" t="s">
        <v>207</v>
      </c>
      <c r="C20" s="174"/>
      <c r="D20" s="174"/>
      <c r="E20" s="174"/>
      <c r="F20" s="174"/>
      <c r="G20" s="174"/>
      <c r="H20" s="174"/>
      <c r="I20" s="169"/>
    </row>
    <row r="21" spans="1:9" s="170" customFormat="1" x14ac:dyDescent="0.2">
      <c r="A21" s="169"/>
      <c r="B21" s="173" t="s">
        <v>208</v>
      </c>
      <c r="C21" s="169"/>
      <c r="D21" s="169"/>
      <c r="E21" s="169"/>
      <c r="F21" s="169"/>
      <c r="G21" s="169"/>
      <c r="H21" s="169"/>
      <c r="I21" s="169"/>
    </row>
    <row r="22" spans="1:9" s="170" customFormat="1" x14ac:dyDescent="0.2">
      <c r="A22" s="169"/>
      <c r="B22" s="169"/>
      <c r="C22" s="169"/>
      <c r="D22" s="169"/>
      <c r="E22" s="169"/>
      <c r="F22" s="169"/>
      <c r="G22" s="169"/>
      <c r="H22" s="169"/>
      <c r="I22" s="169"/>
    </row>
    <row r="23" spans="1:9" s="170" customFormat="1" x14ac:dyDescent="0.2">
      <c r="A23" s="169"/>
      <c r="B23" s="169"/>
      <c r="C23" s="169"/>
      <c r="D23" s="169"/>
      <c r="E23" s="169"/>
      <c r="F23" s="169"/>
      <c r="G23" s="169"/>
      <c r="H23" s="169"/>
      <c r="I23" s="169"/>
    </row>
    <row r="24" spans="1:9" s="170" customFormat="1" x14ac:dyDescent="0.2">
      <c r="A24" s="169"/>
      <c r="B24" s="168"/>
      <c r="C24" s="169"/>
      <c r="D24" s="169"/>
      <c r="E24" s="169"/>
      <c r="F24" s="169"/>
      <c r="G24" s="169"/>
      <c r="H24" s="169"/>
      <c r="I24" s="169"/>
    </row>
    <row r="25" spans="1:9" s="170" customFormat="1" x14ac:dyDescent="0.2">
      <c r="A25" s="169"/>
      <c r="B25" s="169"/>
      <c r="C25" s="169"/>
      <c r="D25" s="169"/>
      <c r="E25" s="169"/>
      <c r="F25" s="169"/>
      <c r="G25" s="169"/>
      <c r="H25" s="169"/>
      <c r="I25" s="169"/>
    </row>
    <row r="26" spans="1:9" s="170" customFormat="1" x14ac:dyDescent="0.2">
      <c r="A26" s="169"/>
      <c r="B26" s="169"/>
      <c r="C26" s="169"/>
      <c r="D26" s="169"/>
      <c r="E26" s="169"/>
      <c r="F26" s="169"/>
      <c r="G26" s="169"/>
      <c r="H26" s="169"/>
      <c r="I26" s="169"/>
    </row>
    <row r="27" spans="1:9" s="170" customFormat="1" x14ac:dyDescent="0.2">
      <c r="A27" s="169"/>
      <c r="B27" s="169"/>
      <c r="C27" s="169"/>
      <c r="D27" s="169"/>
      <c r="E27" s="169"/>
      <c r="F27" s="169"/>
      <c r="G27" s="169"/>
      <c r="H27" s="169"/>
      <c r="I27" s="169"/>
    </row>
    <row r="28" spans="1:9" s="170" customFormat="1" x14ac:dyDescent="0.2">
      <c r="A28" s="169"/>
      <c r="B28" s="169"/>
      <c r="C28" s="169"/>
      <c r="D28" s="169"/>
      <c r="E28" s="169"/>
      <c r="F28" s="169"/>
      <c r="G28" s="169"/>
      <c r="H28" s="169"/>
      <c r="I28" s="169"/>
    </row>
    <row r="29" spans="1:9" s="170" customFormat="1" x14ac:dyDescent="0.2">
      <c r="A29" s="169"/>
      <c r="B29" s="169"/>
      <c r="C29" s="169"/>
      <c r="D29" s="169"/>
      <c r="E29" s="169"/>
      <c r="F29" s="169"/>
      <c r="G29" s="169"/>
      <c r="H29" s="169"/>
      <c r="I29" s="169"/>
    </row>
    <row r="30" spans="1:9" s="170" customFormat="1" x14ac:dyDescent="0.2">
      <c r="A30" s="169"/>
      <c r="B30" s="169"/>
      <c r="C30" s="169"/>
      <c r="D30" s="169"/>
      <c r="E30" s="169"/>
      <c r="F30" s="169"/>
      <c r="G30" s="169"/>
      <c r="H30" s="169"/>
      <c r="I30" s="169"/>
    </row>
    <row r="31" spans="1:9" s="170" customFormat="1" x14ac:dyDescent="0.2">
      <c r="A31" s="169"/>
      <c r="B31" s="169"/>
      <c r="C31" s="169"/>
      <c r="D31" s="169"/>
      <c r="E31" s="169"/>
      <c r="F31" s="169"/>
      <c r="G31" s="169"/>
      <c r="H31" s="169"/>
      <c r="I31" s="169"/>
    </row>
    <row r="32" spans="1:9" s="170" customFormat="1" x14ac:dyDescent="0.2">
      <c r="A32" s="169"/>
      <c r="B32" s="168"/>
      <c r="C32" s="169"/>
      <c r="D32" s="169"/>
      <c r="E32" s="169"/>
      <c r="F32" s="169"/>
      <c r="G32" s="169"/>
      <c r="H32" s="169"/>
      <c r="I32" s="169"/>
    </row>
    <row r="33" spans="1:9" s="170" customFormat="1" x14ac:dyDescent="0.2">
      <c r="A33" s="169"/>
      <c r="B33" s="168"/>
      <c r="C33" s="169"/>
      <c r="D33" s="169"/>
      <c r="E33" s="169"/>
      <c r="F33" s="169"/>
      <c r="G33" s="169"/>
      <c r="H33" s="169"/>
      <c r="I33" s="169"/>
    </row>
    <row r="34" spans="1:9" s="170" customFormat="1" x14ac:dyDescent="0.2">
      <c r="A34" s="169"/>
      <c r="B34" s="169"/>
      <c r="C34" s="169"/>
      <c r="D34" s="169"/>
      <c r="E34" s="169"/>
      <c r="F34" s="169"/>
      <c r="G34" s="169"/>
      <c r="H34" s="169"/>
      <c r="I34" s="169"/>
    </row>
    <row r="35" spans="1:9" s="170" customFormat="1" x14ac:dyDescent="0.2">
      <c r="A35" s="169"/>
      <c r="B35" s="169"/>
      <c r="C35" s="169"/>
      <c r="D35" s="169"/>
      <c r="E35" s="169"/>
      <c r="F35" s="169"/>
      <c r="G35" s="169"/>
      <c r="H35" s="169"/>
      <c r="I35" s="169"/>
    </row>
    <row r="36" spans="1:9" s="170" customFormat="1" x14ac:dyDescent="0.2">
      <c r="A36" s="169"/>
      <c r="B36" s="169"/>
      <c r="C36" s="169"/>
      <c r="D36" s="169"/>
      <c r="E36" s="169"/>
      <c r="F36" s="169"/>
      <c r="G36" s="169"/>
      <c r="H36" s="169"/>
      <c r="I36" s="169"/>
    </row>
    <row r="37" spans="1:9" s="170" customFormat="1" x14ac:dyDescent="0.2">
      <c r="A37" s="169"/>
      <c r="B37" s="169"/>
      <c r="C37" s="169"/>
      <c r="D37" s="169"/>
      <c r="E37" s="169"/>
      <c r="F37" s="169"/>
      <c r="G37" s="169"/>
      <c r="H37" s="169"/>
      <c r="I37" s="169"/>
    </row>
    <row r="38" spans="1:9" s="170" customFormat="1" x14ac:dyDescent="0.2">
      <c r="A38" s="169"/>
      <c r="B38" s="169"/>
      <c r="C38" s="169"/>
      <c r="D38" s="169"/>
      <c r="E38" s="169"/>
      <c r="F38" s="169"/>
      <c r="G38" s="169"/>
      <c r="H38" s="169"/>
      <c r="I38" s="169"/>
    </row>
    <row r="39" spans="1:9" s="170" customFormat="1" x14ac:dyDescent="0.2">
      <c r="A39" s="169"/>
      <c r="B39" s="169"/>
      <c r="C39" s="169"/>
      <c r="D39" s="169"/>
      <c r="E39" s="169"/>
      <c r="F39" s="169"/>
      <c r="G39" s="169"/>
      <c r="H39" s="169"/>
      <c r="I39" s="169"/>
    </row>
    <row r="40" spans="1:9" s="170" customFormat="1" x14ac:dyDescent="0.2">
      <c r="A40" s="169"/>
      <c r="B40" s="169"/>
      <c r="C40" s="169"/>
      <c r="D40" s="169"/>
      <c r="E40" s="169"/>
      <c r="F40" s="169"/>
      <c r="G40" s="169"/>
      <c r="H40" s="169"/>
      <c r="I40" s="169"/>
    </row>
    <row r="41" spans="1:9" s="170" customFormat="1" x14ac:dyDescent="0.2">
      <c r="A41" s="169"/>
      <c r="B41" s="169"/>
      <c r="C41" s="169"/>
      <c r="D41" s="169"/>
      <c r="E41" s="169"/>
      <c r="F41" s="169"/>
      <c r="G41" s="169"/>
      <c r="H41" s="169"/>
      <c r="I41" s="169"/>
    </row>
    <row r="42" spans="1:9" s="170" customFormat="1" x14ac:dyDescent="0.2">
      <c r="A42" s="169"/>
      <c r="B42" s="169"/>
      <c r="C42" s="169"/>
      <c r="D42" s="169"/>
      <c r="E42" s="169"/>
      <c r="F42" s="169"/>
      <c r="G42" s="169"/>
      <c r="H42" s="169"/>
      <c r="I42" s="169"/>
    </row>
    <row r="43" spans="1:9" s="170" customFormat="1" x14ac:dyDescent="0.2">
      <c r="A43" s="169"/>
      <c r="B43" s="169"/>
      <c r="C43" s="169"/>
      <c r="D43" s="169"/>
      <c r="E43" s="169"/>
      <c r="F43" s="169"/>
      <c r="G43" s="169"/>
      <c r="H43" s="169"/>
      <c r="I43" s="169"/>
    </row>
    <row r="44" spans="1:9" s="170" customFormat="1" x14ac:dyDescent="0.2">
      <c r="A44" s="169"/>
      <c r="B44" s="169"/>
      <c r="C44" s="169"/>
      <c r="D44" s="169"/>
      <c r="E44" s="169"/>
      <c r="F44" s="169"/>
      <c r="G44" s="169"/>
      <c r="H44" s="169"/>
      <c r="I44" s="169"/>
    </row>
    <row r="45" spans="1:9" s="170" customFormat="1" x14ac:dyDescent="0.2">
      <c r="A45" s="169"/>
      <c r="B45" s="169"/>
      <c r="C45" s="169"/>
      <c r="D45" s="169"/>
      <c r="E45" s="169"/>
      <c r="F45" s="169"/>
      <c r="G45" s="169"/>
      <c r="H45" s="169"/>
      <c r="I45" s="169"/>
    </row>
    <row r="46" spans="1:9" s="170" customFormat="1" x14ac:dyDescent="0.2">
      <c r="A46" s="169"/>
      <c r="B46" s="169"/>
      <c r="C46" s="169"/>
      <c r="D46" s="169"/>
      <c r="E46" s="169"/>
      <c r="F46" s="169"/>
      <c r="G46" s="169"/>
      <c r="H46" s="169"/>
      <c r="I46" s="169"/>
    </row>
  </sheetData>
  <sheetProtection password="DA71" sheet="1" objects="1" scenarios="1"/>
  <pageMargins left="0.75" right="0.75" top="1" bottom="1" header="0.5" footer="0.5"/>
  <pageSetup paperSize="9" orientation="portrait" r:id="rId1"/>
  <headerFooter alignWithMargins="0">
    <oddHeader>&amp;L&amp;F &amp;C
&amp;A&amp;RJdS//&amp;D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72"/>
  <sheetViews>
    <sheetView workbookViewId="0">
      <selection activeCell="A4" sqref="A4"/>
    </sheetView>
  </sheetViews>
  <sheetFormatPr defaultRowHeight="12.75" x14ac:dyDescent="0.2"/>
  <cols>
    <col min="1" max="3" width="9.140625" style="103"/>
    <col min="4" max="4" width="18.85546875" style="103" customWidth="1"/>
    <col min="5" max="16384" width="9.140625" style="103"/>
  </cols>
  <sheetData>
    <row r="1" spans="1:11" x14ac:dyDescent="0.2">
      <c r="H1" s="111" t="s">
        <v>167</v>
      </c>
      <c r="I1" s="111"/>
      <c r="K1" s="103" t="s">
        <v>101</v>
      </c>
    </row>
    <row r="2" spans="1:11" x14ac:dyDescent="0.2">
      <c r="D2" s="102"/>
    </row>
    <row r="3" spans="1:11" x14ac:dyDescent="0.2">
      <c r="D3" s="104"/>
    </row>
    <row r="4" spans="1:11" ht="21.75" x14ac:dyDescent="0.4">
      <c r="A4" s="107" t="s">
        <v>102</v>
      </c>
      <c r="B4" s="107"/>
      <c r="C4" s="107"/>
    </row>
    <row r="6" spans="1:11" x14ac:dyDescent="0.2">
      <c r="A6" s="108" t="s">
        <v>104</v>
      </c>
      <c r="B6" s="108"/>
      <c r="C6" s="108"/>
      <c r="D6" s="108"/>
      <c r="E6" s="108"/>
      <c r="F6" s="108"/>
      <c r="G6" s="108"/>
      <c r="H6" s="108"/>
    </row>
    <row r="7" spans="1:11" x14ac:dyDescent="0.2">
      <c r="A7" s="108"/>
      <c r="B7" s="108"/>
      <c r="C7" s="108"/>
      <c r="D7" s="108"/>
      <c r="E7" s="108"/>
      <c r="F7" s="108"/>
      <c r="G7" s="108"/>
      <c r="H7" s="108"/>
    </row>
    <row r="8" spans="1:11" x14ac:dyDescent="0.2">
      <c r="A8" s="108" t="s">
        <v>131</v>
      </c>
      <c r="B8" s="108"/>
      <c r="C8" s="108"/>
      <c r="D8" s="109"/>
      <c r="E8" s="110"/>
      <c r="F8" s="108"/>
      <c r="G8" s="108"/>
      <c r="H8" s="108"/>
    </row>
    <row r="9" spans="1:11" x14ac:dyDescent="0.2">
      <c r="A9" s="108" t="s">
        <v>183</v>
      </c>
      <c r="B9" s="108"/>
      <c r="C9" s="108"/>
      <c r="D9" s="109"/>
      <c r="E9" s="110"/>
      <c r="F9" s="108"/>
      <c r="G9" s="108"/>
      <c r="H9" s="108"/>
    </row>
    <row r="10" spans="1:11" x14ac:dyDescent="0.2">
      <c r="A10" s="108" t="s">
        <v>184</v>
      </c>
      <c r="B10" s="108"/>
      <c r="C10" s="108"/>
      <c r="D10" s="109"/>
      <c r="E10" s="110"/>
      <c r="F10" s="108"/>
      <c r="G10" s="108"/>
      <c r="H10" s="108"/>
    </row>
    <row r="11" spans="1:11" x14ac:dyDescent="0.2">
      <c r="A11" s="108" t="s">
        <v>103</v>
      </c>
      <c r="B11" s="108"/>
      <c r="C11" s="108"/>
      <c r="D11" s="109"/>
      <c r="E11" s="110"/>
      <c r="F11" s="108"/>
      <c r="G11" s="108"/>
      <c r="H11" s="108"/>
    </row>
    <row r="12" spans="1:11" x14ac:dyDescent="0.2">
      <c r="A12" s="108"/>
      <c r="B12" s="108"/>
      <c r="C12" s="108"/>
      <c r="D12" s="109"/>
      <c r="E12" s="110"/>
      <c r="F12" s="108"/>
      <c r="G12" s="108"/>
      <c r="H12" s="108"/>
    </row>
    <row r="13" spans="1:11" x14ac:dyDescent="0.2">
      <c r="A13" s="108" t="s">
        <v>105</v>
      </c>
      <c r="B13" s="108"/>
      <c r="C13" s="108"/>
      <c r="D13" s="109"/>
      <c r="E13" s="110"/>
      <c r="F13" s="108"/>
      <c r="G13" s="108"/>
      <c r="H13" s="108"/>
    </row>
    <row r="14" spans="1:11" x14ac:dyDescent="0.2">
      <c r="A14" s="108" t="s">
        <v>106</v>
      </c>
      <c r="B14" s="108"/>
      <c r="C14" s="108"/>
      <c r="D14" s="109"/>
      <c r="E14" s="110"/>
      <c r="F14" s="108"/>
      <c r="G14" s="108"/>
      <c r="H14" s="108"/>
    </row>
    <row r="15" spans="1:11" x14ac:dyDescent="0.2">
      <c r="A15" s="108" t="s">
        <v>107</v>
      </c>
      <c r="B15" s="108"/>
      <c r="C15" s="108"/>
      <c r="D15" s="109"/>
      <c r="E15" s="110"/>
      <c r="F15" s="108"/>
      <c r="G15" s="108"/>
      <c r="H15" s="108"/>
    </row>
    <row r="16" spans="1:11" x14ac:dyDescent="0.2">
      <c r="D16" s="105"/>
      <c r="E16" s="106"/>
    </row>
    <row r="17" spans="1:5" x14ac:dyDescent="0.2">
      <c r="D17" s="105"/>
      <c r="E17" s="106"/>
    </row>
    <row r="18" spans="1:5" x14ac:dyDescent="0.2">
      <c r="D18" s="105"/>
      <c r="E18" s="106"/>
    </row>
    <row r="19" spans="1:5" x14ac:dyDescent="0.2">
      <c r="A19" s="103" t="s">
        <v>108</v>
      </c>
      <c r="D19" s="105"/>
      <c r="E19" s="106"/>
    </row>
    <row r="21" spans="1:5" x14ac:dyDescent="0.2">
      <c r="A21" s="103" t="s">
        <v>109</v>
      </c>
      <c r="E21" s="106"/>
    </row>
    <row r="22" spans="1:5" x14ac:dyDescent="0.2">
      <c r="A22" s="103" t="s">
        <v>110</v>
      </c>
    </row>
    <row r="23" spans="1:5" x14ac:dyDescent="0.2">
      <c r="A23" s="103" t="s">
        <v>115</v>
      </c>
    </row>
    <row r="25" spans="1:5" x14ac:dyDescent="0.2">
      <c r="A25" s="103" t="s">
        <v>111</v>
      </c>
    </row>
    <row r="26" spans="1:5" x14ac:dyDescent="0.2">
      <c r="A26" s="103" t="s">
        <v>112</v>
      </c>
    </row>
    <row r="28" spans="1:5" x14ac:dyDescent="0.2">
      <c r="A28" s="103" t="s">
        <v>113</v>
      </c>
    </row>
    <row r="29" spans="1:5" x14ac:dyDescent="0.2">
      <c r="A29" s="103" t="s">
        <v>114</v>
      </c>
    </row>
    <row r="30" spans="1:5" x14ac:dyDescent="0.2">
      <c r="A30" s="103" t="s">
        <v>116</v>
      </c>
    </row>
    <row r="32" spans="1:5" x14ac:dyDescent="0.2">
      <c r="A32" s="111" t="s">
        <v>123</v>
      </c>
    </row>
    <row r="33" spans="1:1" x14ac:dyDescent="0.2">
      <c r="A33" s="103" t="s">
        <v>117</v>
      </c>
    </row>
    <row r="34" spans="1:1" x14ac:dyDescent="0.2">
      <c r="A34" s="103" t="s">
        <v>120</v>
      </c>
    </row>
    <row r="35" spans="1:1" x14ac:dyDescent="0.2">
      <c r="A35" s="103" t="s">
        <v>165</v>
      </c>
    </row>
    <row r="36" spans="1:1" x14ac:dyDescent="0.2">
      <c r="A36" s="103" t="s">
        <v>118</v>
      </c>
    </row>
    <row r="37" spans="1:1" x14ac:dyDescent="0.2">
      <c r="A37" s="103" t="s">
        <v>121</v>
      </c>
    </row>
    <row r="38" spans="1:1" x14ac:dyDescent="0.2">
      <c r="A38" s="103" t="s">
        <v>119</v>
      </c>
    </row>
    <row r="39" spans="1:1" x14ac:dyDescent="0.2">
      <c r="A39" s="103" t="s">
        <v>122</v>
      </c>
    </row>
    <row r="40" spans="1:1" x14ac:dyDescent="0.2">
      <c r="A40" s="103" t="s">
        <v>166</v>
      </c>
    </row>
    <row r="42" spans="1:1" x14ac:dyDescent="0.2">
      <c r="A42" s="111" t="s">
        <v>126</v>
      </c>
    </row>
    <row r="43" spans="1:1" x14ac:dyDescent="0.2">
      <c r="A43" s="103" t="s">
        <v>124</v>
      </c>
    </row>
    <row r="44" spans="1:1" x14ac:dyDescent="0.2">
      <c r="A44" s="103" t="s">
        <v>125</v>
      </c>
    </row>
    <row r="45" spans="1:1" x14ac:dyDescent="0.2">
      <c r="A45" s="103" t="s">
        <v>130</v>
      </c>
    </row>
    <row r="46" spans="1:1" x14ac:dyDescent="0.2">
      <c r="A46" s="103" t="s">
        <v>127</v>
      </c>
    </row>
    <row r="47" spans="1:1" x14ac:dyDescent="0.2">
      <c r="A47" s="103" t="s">
        <v>128</v>
      </c>
    </row>
    <row r="48" spans="1:1" x14ac:dyDescent="0.2">
      <c r="A48" s="103" t="s">
        <v>129</v>
      </c>
    </row>
    <row r="50" spans="1:1" x14ac:dyDescent="0.2">
      <c r="A50" s="111" t="s">
        <v>133</v>
      </c>
    </row>
    <row r="51" spans="1:1" x14ac:dyDescent="0.2">
      <c r="A51" s="103" t="s">
        <v>132</v>
      </c>
    </row>
    <row r="52" spans="1:1" x14ac:dyDescent="0.2">
      <c r="A52" s="103" t="s">
        <v>134</v>
      </c>
    </row>
    <row r="54" spans="1:1" x14ac:dyDescent="0.2">
      <c r="A54" s="111" t="s">
        <v>169</v>
      </c>
    </row>
    <row r="55" spans="1:1" x14ac:dyDescent="0.2">
      <c r="A55" s="103" t="s">
        <v>170</v>
      </c>
    </row>
    <row r="56" spans="1:1" x14ac:dyDescent="0.2">
      <c r="A56" s="103" t="s">
        <v>171</v>
      </c>
    </row>
    <row r="57" spans="1:1" x14ac:dyDescent="0.2">
      <c r="A57" s="103" t="s">
        <v>172</v>
      </c>
    </row>
    <row r="60" spans="1:1" x14ac:dyDescent="0.2">
      <c r="A60" s="111" t="s">
        <v>138</v>
      </c>
    </row>
    <row r="61" spans="1:1" x14ac:dyDescent="0.2">
      <c r="A61" s="103" t="s">
        <v>135</v>
      </c>
    </row>
    <row r="62" spans="1:1" x14ac:dyDescent="0.2">
      <c r="A62" s="103" t="s">
        <v>136</v>
      </c>
    </row>
    <row r="63" spans="1:1" x14ac:dyDescent="0.2">
      <c r="A63" s="103" t="s">
        <v>137</v>
      </c>
    </row>
    <row r="65" spans="1:1" x14ac:dyDescent="0.2">
      <c r="A65" s="103" t="s">
        <v>139</v>
      </c>
    </row>
    <row r="66" spans="1:1" x14ac:dyDescent="0.2">
      <c r="A66" s="103" t="s">
        <v>140</v>
      </c>
    </row>
    <row r="68" spans="1:1" x14ac:dyDescent="0.2">
      <c r="A68" s="103" t="s">
        <v>173</v>
      </c>
    </row>
    <row r="70" spans="1:1" x14ac:dyDescent="0.2">
      <c r="A70" s="103" t="s">
        <v>141</v>
      </c>
    </row>
    <row r="72" spans="1:1" x14ac:dyDescent="0.2">
      <c r="A72" s="103" t="s">
        <v>142</v>
      </c>
    </row>
  </sheetData>
  <sheetProtection password="DA71" sheet="1" objects="1" scenarios="1"/>
  <phoneticPr fontId="2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137"/>
  <sheetViews>
    <sheetView workbookViewId="0">
      <selection activeCell="C28" sqref="C28"/>
    </sheetView>
  </sheetViews>
  <sheetFormatPr defaultRowHeight="12.75" x14ac:dyDescent="0.2"/>
  <cols>
    <col min="2" max="2" width="8" customWidth="1"/>
    <col min="4" max="5" width="8.42578125" customWidth="1"/>
    <col min="6" max="17" width="6.28515625" customWidth="1"/>
  </cols>
  <sheetData>
    <row r="1" spans="1:17" ht="26.25" x14ac:dyDescent="0.4">
      <c r="A1" s="166" t="s">
        <v>192</v>
      </c>
      <c r="B1" s="163"/>
      <c r="C1" s="163"/>
      <c r="D1" s="163"/>
      <c r="E1" s="163"/>
      <c r="F1" s="163"/>
      <c r="G1" s="163"/>
      <c r="H1" s="163"/>
      <c r="I1" s="163"/>
      <c r="J1" s="163" t="s">
        <v>101</v>
      </c>
      <c r="K1" s="163"/>
      <c r="L1" s="163" t="s">
        <v>167</v>
      </c>
      <c r="M1" s="163"/>
      <c r="N1" s="163"/>
      <c r="O1" s="163"/>
      <c r="P1" s="163"/>
      <c r="Q1" s="163"/>
    </row>
    <row r="2" spans="1:17" ht="15" x14ac:dyDescent="0.25">
      <c r="A2" s="163" t="s">
        <v>193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</row>
    <row r="4" spans="1:17" x14ac:dyDescent="0.2">
      <c r="A4" t="s">
        <v>143</v>
      </c>
    </row>
    <row r="5" spans="1:17" x14ac:dyDescent="0.2">
      <c r="A5" t="s">
        <v>144</v>
      </c>
    </row>
    <row r="8" spans="1:17" x14ac:dyDescent="0.2">
      <c r="A8" t="s">
        <v>145</v>
      </c>
    </row>
    <row r="9" spans="1:17" x14ac:dyDescent="0.2">
      <c r="A9" t="s">
        <v>146</v>
      </c>
    </row>
    <row r="11" spans="1:17" ht="15" x14ac:dyDescent="0.25">
      <c r="B11" s="164" t="s">
        <v>189</v>
      </c>
      <c r="C11" s="164"/>
      <c r="D11" s="164"/>
      <c r="E11" s="164"/>
    </row>
    <row r="13" spans="1:17" x14ac:dyDescent="0.2">
      <c r="B13" s="119" t="s">
        <v>154</v>
      </c>
      <c r="C13" s="119"/>
      <c r="D13" s="119"/>
    </row>
    <row r="17" spans="1:18" x14ac:dyDescent="0.2">
      <c r="A17" s="117" t="s">
        <v>149</v>
      </c>
      <c r="B17" s="112"/>
      <c r="C17" s="113">
        <v>2010</v>
      </c>
      <c r="D17" s="113" t="s">
        <v>147</v>
      </c>
    </row>
    <row r="18" spans="1:18" x14ac:dyDescent="0.2">
      <c r="B18" s="6" t="s">
        <v>34</v>
      </c>
      <c r="C18" s="6">
        <v>244</v>
      </c>
      <c r="D18" s="175"/>
    </row>
    <row r="19" spans="1:18" x14ac:dyDescent="0.2">
      <c r="B19" s="6" t="s">
        <v>37</v>
      </c>
      <c r="C19" s="6">
        <v>300</v>
      </c>
      <c r="D19" s="175"/>
    </row>
    <row r="20" spans="1:18" x14ac:dyDescent="0.2">
      <c r="B20" s="6" t="s">
        <v>148</v>
      </c>
      <c r="C20" s="6">
        <f>C18*C19</f>
        <v>73200</v>
      </c>
      <c r="D20" s="6">
        <f>D18*D19</f>
        <v>0</v>
      </c>
    </row>
    <row r="24" spans="1:18" ht="13.5" thickBot="1" x14ac:dyDescent="0.25">
      <c r="A24" s="117" t="s">
        <v>150</v>
      </c>
    </row>
    <row r="25" spans="1:18" ht="13.5" thickBot="1" x14ac:dyDescent="0.25">
      <c r="B25" s="112" t="s">
        <v>7</v>
      </c>
      <c r="C25" s="112">
        <v>2</v>
      </c>
      <c r="D25" s="112">
        <v>4</v>
      </c>
      <c r="E25" s="112">
        <v>6</v>
      </c>
      <c r="F25" s="112">
        <v>8</v>
      </c>
      <c r="G25" s="112">
        <v>10</v>
      </c>
      <c r="H25" s="112">
        <v>12</v>
      </c>
      <c r="I25" s="112">
        <v>14</v>
      </c>
      <c r="J25" s="112">
        <v>16</v>
      </c>
      <c r="K25" s="114">
        <v>18</v>
      </c>
      <c r="L25" s="112">
        <v>20</v>
      </c>
      <c r="M25" s="112">
        <v>22</v>
      </c>
      <c r="N25" s="112">
        <v>24</v>
      </c>
      <c r="O25" s="112">
        <v>26</v>
      </c>
      <c r="P25" s="112">
        <v>28</v>
      </c>
      <c r="Q25" s="112">
        <v>30</v>
      </c>
    </row>
    <row r="26" spans="1:18" ht="13.5" thickBot="1" x14ac:dyDescent="0.25">
      <c r="A26" t="s">
        <v>151</v>
      </c>
      <c r="B26" t="s">
        <v>6</v>
      </c>
      <c r="C26">
        <v>0</v>
      </c>
      <c r="D26">
        <v>0</v>
      </c>
      <c r="E26">
        <v>0</v>
      </c>
      <c r="F26">
        <v>0</v>
      </c>
      <c r="G26">
        <v>0</v>
      </c>
      <c r="H26">
        <v>0.05</v>
      </c>
      <c r="I26">
        <v>0.1</v>
      </c>
      <c r="J26" s="47">
        <v>0.9</v>
      </c>
      <c r="K26" s="63">
        <v>1</v>
      </c>
      <c r="L26">
        <v>0.9</v>
      </c>
      <c r="M26">
        <v>0.6</v>
      </c>
      <c r="N26">
        <v>0.4</v>
      </c>
      <c r="O26">
        <v>0.2</v>
      </c>
      <c r="P26">
        <v>0</v>
      </c>
      <c r="Q26">
        <v>0</v>
      </c>
      <c r="R26" s="115" t="s">
        <v>153</v>
      </c>
    </row>
    <row r="27" spans="1:18" x14ac:dyDescent="0.2">
      <c r="A27" t="s">
        <v>152</v>
      </c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75"/>
    </row>
    <row r="28" spans="1:18" x14ac:dyDescent="0.2">
      <c r="C28" s="116" t="s">
        <v>168</v>
      </c>
    </row>
    <row r="31" spans="1:18" x14ac:dyDescent="0.2">
      <c r="C31" s="118" t="s">
        <v>162</v>
      </c>
    </row>
    <row r="33" spans="1:14" x14ac:dyDescent="0.2">
      <c r="A33" s="117" t="s">
        <v>155</v>
      </c>
    </row>
    <row r="34" spans="1:14" x14ac:dyDescent="0.2">
      <c r="A34" s="117"/>
    </row>
    <row r="35" spans="1:14" x14ac:dyDescent="0.2">
      <c r="A35" s="112"/>
      <c r="B35" s="180" t="s">
        <v>161</v>
      </c>
      <c r="C35" s="182"/>
      <c r="D35" s="180" t="s">
        <v>56</v>
      </c>
      <c r="E35" s="181"/>
    </row>
    <row r="36" spans="1:14" x14ac:dyDescent="0.2">
      <c r="A36" s="112" t="s">
        <v>15</v>
      </c>
      <c r="B36" s="122" t="s">
        <v>157</v>
      </c>
      <c r="C36" s="123" t="s">
        <v>52</v>
      </c>
      <c r="D36" s="121" t="s">
        <v>159</v>
      </c>
      <c r="E36" s="130">
        <v>1000</v>
      </c>
      <c r="I36" s="112"/>
      <c r="J36" s="112" t="s">
        <v>75</v>
      </c>
      <c r="K36" s="112"/>
      <c r="L36" s="112"/>
      <c r="M36" s="112"/>
      <c r="N36" s="112"/>
    </row>
    <row r="37" spans="1:14" x14ac:dyDescent="0.2">
      <c r="B37" s="124" t="s">
        <v>158</v>
      </c>
      <c r="C37" s="47" t="s">
        <v>156</v>
      </c>
      <c r="D37" s="127" t="s">
        <v>63</v>
      </c>
      <c r="E37" s="131" t="s">
        <v>160</v>
      </c>
      <c r="I37" s="11" t="s">
        <v>74</v>
      </c>
      <c r="J37" s="134">
        <v>2010</v>
      </c>
      <c r="K37" s="11">
        <v>2011</v>
      </c>
      <c r="L37" s="11">
        <v>2012</v>
      </c>
      <c r="M37" s="11">
        <v>2013</v>
      </c>
    </row>
    <row r="38" spans="1:14" x14ac:dyDescent="0.2">
      <c r="A38" s="6">
        <v>2010</v>
      </c>
      <c r="B38" s="125">
        <v>1509.2600613297561</v>
      </c>
      <c r="C38" s="89">
        <v>20.61830684876751</v>
      </c>
      <c r="D38" s="128">
        <v>16.102408863603102</v>
      </c>
      <c r="E38" s="132">
        <v>99.60132208622305</v>
      </c>
      <c r="I38">
        <v>1</v>
      </c>
      <c r="J38" s="120">
        <v>8.2504392192545666</v>
      </c>
      <c r="K38" s="2">
        <f ca="1">motor!AR38</f>
        <v>7.7492372815794015</v>
      </c>
      <c r="L38" s="2">
        <f ca="1">motor!AS38</f>
        <v>7.7683445165979315</v>
      </c>
      <c r="M38" s="2">
        <f ca="1">motor!AT38</f>
        <v>6.5528955030715919</v>
      </c>
    </row>
    <row r="39" spans="1:14" x14ac:dyDescent="0.2">
      <c r="A39">
        <v>2011</v>
      </c>
      <c r="B39" s="126">
        <f>motor!AG39</f>
        <v>0</v>
      </c>
      <c r="C39" s="50" t="e">
        <f>motor!AH39</f>
        <v>#DIV/0!</v>
      </c>
      <c r="D39" s="129" t="e">
        <f>motor!AL39</f>
        <v>#DIV/0!</v>
      </c>
      <c r="E39" s="133" t="e">
        <f>motor!AN39</f>
        <v>#DIV/0!</v>
      </c>
      <c r="I39">
        <v>2</v>
      </c>
      <c r="J39" s="120">
        <v>7.0311355313061323</v>
      </c>
      <c r="K39" s="2">
        <f ca="1">motor!AR39</f>
        <v>9.0952329035727661</v>
      </c>
      <c r="L39" s="2">
        <f ca="1">motor!AS39</f>
        <v>8.782730057142075</v>
      </c>
      <c r="M39" s="2">
        <f ca="1">motor!AT39</f>
        <v>10.317033555376284</v>
      </c>
    </row>
    <row r="40" spans="1:14" x14ac:dyDescent="0.2">
      <c r="A40">
        <v>2012</v>
      </c>
      <c r="B40" s="126">
        <f>motor!AG40</f>
        <v>0</v>
      </c>
      <c r="C40" s="50" t="e">
        <f>motor!AH40</f>
        <v>#DIV/0!</v>
      </c>
      <c r="D40" s="129" t="e">
        <f>motor!AL40</f>
        <v>#DIV/0!</v>
      </c>
      <c r="E40" s="133" t="e">
        <f>motor!AN40</f>
        <v>#DIV/0!</v>
      </c>
      <c r="I40">
        <v>3</v>
      </c>
      <c r="J40" s="120">
        <v>8.1965663221473957</v>
      </c>
      <c r="K40" s="2">
        <f ca="1">motor!AR40</f>
        <v>7.1453992429333191</v>
      </c>
      <c r="L40" s="2">
        <f ca="1">motor!AS40</f>
        <v>7.9666726457403749</v>
      </c>
      <c r="M40" s="2">
        <f ca="1">motor!AT40</f>
        <v>8.3991095828286682</v>
      </c>
    </row>
    <row r="41" spans="1:14" x14ac:dyDescent="0.2">
      <c r="A41">
        <v>2013</v>
      </c>
      <c r="B41" s="126">
        <f>motor!AG41</f>
        <v>0</v>
      </c>
      <c r="C41" s="50" t="e">
        <f>motor!AH41</f>
        <v>#DIV/0!</v>
      </c>
      <c r="D41" s="129" t="e">
        <f>motor!AL41</f>
        <v>#DIV/0!</v>
      </c>
      <c r="E41" s="133" t="e">
        <f>motor!AN41</f>
        <v>#DIV/0!</v>
      </c>
      <c r="I41">
        <v>4</v>
      </c>
      <c r="J41" s="120">
        <v>7.0723724898320581</v>
      </c>
      <c r="K41" s="2">
        <f ca="1">motor!AR41</f>
        <v>7.0041279406048229</v>
      </c>
      <c r="L41" s="2">
        <f ca="1">motor!AS41</f>
        <v>6.5381762354549018</v>
      </c>
      <c r="M41" s="2">
        <f ca="1">motor!AT41</f>
        <v>8.1397168351501641</v>
      </c>
    </row>
    <row r="42" spans="1:14" x14ac:dyDescent="0.2">
      <c r="I42">
        <v>5</v>
      </c>
      <c r="J42" s="120">
        <v>7.5732434896735716</v>
      </c>
      <c r="K42" s="2">
        <f ca="1">motor!AR42</f>
        <v>7.8282503241895212</v>
      </c>
      <c r="L42" s="2">
        <f ca="1">motor!AS42</f>
        <v>7.1795746208510396</v>
      </c>
      <c r="M42" s="2">
        <f ca="1">motor!AT42</f>
        <v>8.1315867569730464</v>
      </c>
    </row>
    <row r="43" spans="1:14" x14ac:dyDescent="0.2">
      <c r="I43">
        <v>6</v>
      </c>
      <c r="J43" s="120">
        <v>7.1464012195608682</v>
      </c>
      <c r="K43" s="2">
        <f ca="1">motor!AR43</f>
        <v>8.3658359546392624</v>
      </c>
      <c r="L43" s="2">
        <f ca="1">motor!AS43</f>
        <v>6.0997691269082317</v>
      </c>
      <c r="M43" s="2">
        <f ca="1">motor!AT43</f>
        <v>6.9449265821124069</v>
      </c>
    </row>
    <row r="44" spans="1:14" x14ac:dyDescent="0.2">
      <c r="I44">
        <v>7</v>
      </c>
      <c r="J44" s="120">
        <v>6.7784083675028297</v>
      </c>
      <c r="K44" s="2">
        <f ca="1">motor!AR44</f>
        <v>7.4664672349392029</v>
      </c>
      <c r="L44" s="2">
        <f ca="1">motor!AS44</f>
        <v>8.3173621690490158</v>
      </c>
      <c r="M44" s="2">
        <f ca="1">motor!AT44</f>
        <v>7.885153286858297</v>
      </c>
    </row>
    <row r="45" spans="1:14" x14ac:dyDescent="0.2">
      <c r="A45" s="116" t="s">
        <v>163</v>
      </c>
      <c r="I45">
        <v>8</v>
      </c>
      <c r="J45" s="120">
        <v>7.2978461246019766</v>
      </c>
      <c r="K45" s="2">
        <f ca="1">motor!AR45</f>
        <v>7.9294474316518357</v>
      </c>
      <c r="L45" s="2">
        <f ca="1">motor!AS45</f>
        <v>7.851440377925698</v>
      </c>
      <c r="M45" s="2">
        <f ca="1">motor!AT45</f>
        <v>8.4860131471103575</v>
      </c>
    </row>
    <row r="46" spans="1:14" x14ac:dyDescent="0.2">
      <c r="A46" s="116" t="s">
        <v>164</v>
      </c>
      <c r="I46">
        <v>9</v>
      </c>
      <c r="J46" s="120">
        <v>6.0103881268052159</v>
      </c>
      <c r="K46" s="2">
        <f ca="1">motor!AR46</f>
        <v>6.3794323208286912</v>
      </c>
      <c r="L46" s="2">
        <f ca="1">motor!AS46</f>
        <v>6.1040411688786982</v>
      </c>
      <c r="M46" s="2">
        <f ca="1">motor!AT46</f>
        <v>8.8817862303121569</v>
      </c>
    </row>
    <row r="47" spans="1:14" x14ac:dyDescent="0.2">
      <c r="I47">
        <v>10</v>
      </c>
      <c r="J47" s="120">
        <v>7.0533886017356622</v>
      </c>
      <c r="K47" s="2">
        <f ca="1">motor!AR47</f>
        <v>8.0704231750820252</v>
      </c>
      <c r="L47" s="2">
        <f ca="1">motor!AS47</f>
        <v>8.8819630234127072</v>
      </c>
      <c r="M47" s="2">
        <f ca="1">motor!AT47</f>
        <v>6.7202030802308652</v>
      </c>
    </row>
    <row r="48" spans="1:14" x14ac:dyDescent="0.2">
      <c r="I48">
        <v>11</v>
      </c>
      <c r="J48" s="120">
        <v>8.2371393023428414</v>
      </c>
      <c r="K48" s="2">
        <f ca="1">motor!AR48</f>
        <v>6.7731641888719274</v>
      </c>
      <c r="L48" s="2">
        <f ca="1">motor!AS48</f>
        <v>8.1020584307119012</v>
      </c>
      <c r="M48" s="2">
        <f ca="1">motor!AT48</f>
        <v>8.1443297931337177</v>
      </c>
    </row>
    <row r="49" spans="9:13" x14ac:dyDescent="0.2">
      <c r="I49">
        <v>12</v>
      </c>
      <c r="J49" s="120">
        <v>6.894416677006423</v>
      </c>
      <c r="K49" s="2">
        <f ca="1">motor!AR49</f>
        <v>8.2027217694543282</v>
      </c>
      <c r="L49" s="2">
        <f ca="1">motor!AS49</f>
        <v>6.7386190659301191</v>
      </c>
      <c r="M49" s="2">
        <f ca="1">motor!AT49</f>
        <v>6.842443089775518</v>
      </c>
    </row>
    <row r="50" spans="9:13" x14ac:dyDescent="0.2">
      <c r="I50">
        <v>13</v>
      </c>
      <c r="J50" s="120">
        <v>6.9269607211820095</v>
      </c>
      <c r="K50" s="2">
        <f ca="1">motor!AR50</f>
        <v>8.3925927794936861</v>
      </c>
      <c r="L50" s="2">
        <f ca="1">motor!AS50</f>
        <v>6.9970371491063554</v>
      </c>
      <c r="M50" s="2">
        <f ca="1">motor!AT50</f>
        <v>8.3293148535271353</v>
      </c>
    </row>
    <row r="51" spans="9:13" x14ac:dyDescent="0.2">
      <c r="I51">
        <v>14</v>
      </c>
      <c r="J51" s="120">
        <v>8.7805487740231367</v>
      </c>
      <c r="K51" s="2">
        <f ca="1">motor!AR51</f>
        <v>6.6136070332500889</v>
      </c>
      <c r="L51" s="2">
        <f ca="1">motor!AS51</f>
        <v>6.6845322443363377</v>
      </c>
      <c r="M51" s="2">
        <f ca="1">motor!AT51</f>
        <v>7.5775199126744228</v>
      </c>
    </row>
    <row r="52" spans="9:13" x14ac:dyDescent="0.2">
      <c r="I52">
        <v>15</v>
      </c>
      <c r="J52" s="120">
        <v>7.9184530601765086</v>
      </c>
      <c r="K52" s="2">
        <f ca="1">motor!AR52</f>
        <v>7.991005932405348</v>
      </c>
      <c r="L52" s="2">
        <f ca="1">motor!AS52</f>
        <v>6.2989950359365032</v>
      </c>
      <c r="M52" s="2">
        <f ca="1">motor!AT52</f>
        <v>7.2289110080193861</v>
      </c>
    </row>
    <row r="53" spans="9:13" x14ac:dyDescent="0.2">
      <c r="I53">
        <v>16</v>
      </c>
      <c r="J53" s="120">
        <v>6.252729514965738</v>
      </c>
      <c r="K53" s="2">
        <f ca="1">motor!AR53</f>
        <v>8.237401362902796</v>
      </c>
      <c r="L53" s="2">
        <f ca="1">motor!AS53</f>
        <v>9.0317754847134992</v>
      </c>
      <c r="M53" s="2">
        <f ca="1">motor!AT53</f>
        <v>7.2645777948394041</v>
      </c>
    </row>
    <row r="54" spans="9:13" x14ac:dyDescent="0.2">
      <c r="I54">
        <v>17</v>
      </c>
      <c r="J54" s="120">
        <v>7.5964643343696139</v>
      </c>
      <c r="K54" s="2">
        <f ca="1">motor!AR54</f>
        <v>7.7711937469231565</v>
      </c>
      <c r="L54" s="2">
        <f ca="1">motor!AS54</f>
        <v>8.4861428968299943</v>
      </c>
      <c r="M54" s="2">
        <f ca="1">motor!AT54</f>
        <v>6.8127827716568499</v>
      </c>
    </row>
    <row r="55" spans="9:13" x14ac:dyDescent="0.2">
      <c r="I55">
        <v>18</v>
      </c>
      <c r="J55" s="120">
        <v>9.4042563479994996</v>
      </c>
      <c r="K55" s="2">
        <f ca="1">motor!AR55</f>
        <v>6.6216939036754576</v>
      </c>
      <c r="L55" s="2">
        <f ca="1">motor!AS55</f>
        <v>7.3881540477442016</v>
      </c>
      <c r="M55" s="2">
        <f ca="1">motor!AT55</f>
        <v>8.7048615660551523</v>
      </c>
    </row>
    <row r="56" spans="9:13" x14ac:dyDescent="0.2">
      <c r="I56">
        <v>19</v>
      </c>
      <c r="J56" s="120">
        <v>6.4210427847328893</v>
      </c>
      <c r="K56" s="2">
        <f ca="1">motor!AR56</f>
        <v>7.2771465512660551</v>
      </c>
      <c r="L56" s="2">
        <f ca="1">motor!AS56</f>
        <v>9.6054571514827511</v>
      </c>
      <c r="M56" s="2">
        <f ca="1">motor!AT56</f>
        <v>8.3759955956533929</v>
      </c>
    </row>
    <row r="57" spans="9:13" x14ac:dyDescent="0.2">
      <c r="I57">
        <v>20</v>
      </c>
      <c r="J57" s="120">
        <v>6.1107748225183443</v>
      </c>
      <c r="K57" s="2">
        <f ca="1">motor!AR57</f>
        <v>7.8775931924156932</v>
      </c>
      <c r="L57" s="2">
        <f ca="1">motor!AS57</f>
        <v>8.3540660839763934</v>
      </c>
      <c r="M57" s="2">
        <f ca="1">motor!AT57</f>
        <v>8.1243072410731383</v>
      </c>
    </row>
    <row r="58" spans="9:13" x14ac:dyDescent="0.2">
      <c r="I58">
        <v>21</v>
      </c>
      <c r="J58" s="120">
        <v>6.5333563938484733</v>
      </c>
      <c r="K58" s="2">
        <f ca="1">motor!AR58</f>
        <v>6.967578733315217</v>
      </c>
      <c r="L58" s="2">
        <f ca="1">motor!AS58</f>
        <v>8.8468152809662346</v>
      </c>
      <c r="M58" s="2">
        <f ca="1">motor!AT58</f>
        <v>6.5467558272191617</v>
      </c>
    </row>
    <row r="59" spans="9:13" x14ac:dyDescent="0.2">
      <c r="I59">
        <v>22</v>
      </c>
      <c r="J59" s="120">
        <v>18.798691877523787</v>
      </c>
      <c r="K59" s="2">
        <f ca="1">motor!AR59</f>
        <v>8.15197614312636</v>
      </c>
      <c r="L59" s="2">
        <f ca="1">motor!AS59</f>
        <v>8.5636529102063736</v>
      </c>
      <c r="M59" s="2">
        <f ca="1">motor!AT59</f>
        <v>7.7936879813608284</v>
      </c>
    </row>
    <row r="60" spans="9:13" x14ac:dyDescent="0.2">
      <c r="I60">
        <v>23</v>
      </c>
      <c r="J60" s="120">
        <v>17.671456490144134</v>
      </c>
      <c r="K60" s="2">
        <f ca="1">motor!AR60</f>
        <v>7.7190180068778771</v>
      </c>
      <c r="L60" s="2">
        <f ca="1">motor!AS60</f>
        <v>8.0520807895110966</v>
      </c>
      <c r="M60" s="2">
        <f ca="1">motor!AT60</f>
        <v>6.7044900897113102</v>
      </c>
    </row>
    <row r="61" spans="9:13" x14ac:dyDescent="0.2">
      <c r="I61">
        <v>24</v>
      </c>
      <c r="J61" s="120">
        <v>20.814820386729991</v>
      </c>
      <c r="K61" s="2">
        <f ca="1">motor!AR61</f>
        <v>7.9346794683912378</v>
      </c>
      <c r="L61" s="2">
        <f ca="1">motor!AS61</f>
        <v>9.3376035831027551</v>
      </c>
      <c r="M61" s="2">
        <f ca="1">motor!AT61</f>
        <v>7.3414711390014329</v>
      </c>
    </row>
    <row r="62" spans="9:13" x14ac:dyDescent="0.2">
      <c r="I62">
        <v>25</v>
      </c>
      <c r="J62" s="120">
        <v>14.409671769918855</v>
      </c>
      <c r="K62" s="2">
        <f ca="1">motor!AR62</f>
        <v>8.0428090638149197</v>
      </c>
      <c r="L62" s="2">
        <f ca="1">motor!AS62</f>
        <v>8.3375863362143949</v>
      </c>
      <c r="M62" s="2">
        <f ca="1">motor!AT62</f>
        <v>6.4296997878026323</v>
      </c>
    </row>
    <row r="63" spans="9:13" x14ac:dyDescent="0.2">
      <c r="I63">
        <v>26</v>
      </c>
      <c r="J63" s="120">
        <v>22.912599495150857</v>
      </c>
      <c r="K63" s="2">
        <f ca="1">motor!AR63</f>
        <v>6.9830131443700214</v>
      </c>
      <c r="L63" s="2">
        <f ca="1">motor!AS63</f>
        <v>7.2429995489580792</v>
      </c>
      <c r="M63" s="2">
        <f ca="1">motor!AT63</f>
        <v>7.3781002341956556</v>
      </c>
    </row>
    <row r="64" spans="9:13" x14ac:dyDescent="0.2">
      <c r="I64">
        <v>27</v>
      </c>
      <c r="J64" s="120">
        <v>18.155778705049311</v>
      </c>
      <c r="K64" s="2">
        <f ca="1">motor!AR64</f>
        <v>6.500058480424574</v>
      </c>
      <c r="L64" s="2">
        <f ca="1">motor!AS64</f>
        <v>7.9294978950876773</v>
      </c>
      <c r="M64" s="2">
        <f ca="1">motor!AT64</f>
        <v>8.2718957250727634</v>
      </c>
    </row>
    <row r="65" spans="9:13" x14ac:dyDescent="0.2">
      <c r="I65">
        <v>28</v>
      </c>
      <c r="J65" s="120">
        <v>19.216896134193661</v>
      </c>
      <c r="K65" s="2">
        <f ca="1">motor!AR65</f>
        <v>8.3234947011779319</v>
      </c>
      <c r="L65" s="2">
        <f ca="1">motor!AS65</f>
        <v>7.2007378843037539</v>
      </c>
      <c r="M65" s="2">
        <f ca="1">motor!AT65</f>
        <v>7.251782676841378</v>
      </c>
    </row>
    <row r="66" spans="9:13" x14ac:dyDescent="0.2">
      <c r="I66">
        <v>29</v>
      </c>
      <c r="J66" s="120">
        <v>17.447939015521232</v>
      </c>
      <c r="K66" s="2">
        <f ca="1">motor!AR66</f>
        <v>8.3270734903038672</v>
      </c>
      <c r="L66" s="2">
        <f ca="1">motor!AS66</f>
        <v>7.1515759129517038</v>
      </c>
      <c r="M66" s="2">
        <f ca="1">motor!AT66</f>
        <v>8.2759874557198163</v>
      </c>
    </row>
    <row r="67" spans="9:13" x14ac:dyDescent="0.2">
      <c r="I67">
        <v>30</v>
      </c>
      <c r="J67" s="120">
        <v>17.336967659120354</v>
      </c>
      <c r="K67" s="2">
        <f ca="1">motor!AR67</f>
        <v>7.1152745825869497</v>
      </c>
      <c r="L67" s="2">
        <f ca="1">motor!AS67</f>
        <v>6.1664060360056947</v>
      </c>
      <c r="M67" s="2">
        <f ca="1">motor!AT67</f>
        <v>7.3094109111594454</v>
      </c>
    </row>
    <row r="68" spans="9:13" x14ac:dyDescent="0.2">
      <c r="I68">
        <v>31</v>
      </c>
      <c r="J68" s="120">
        <v>21.266494525403406</v>
      </c>
      <c r="K68" s="2">
        <f ca="1">motor!AR68</f>
        <v>7.1875365429585685</v>
      </c>
      <c r="L68" s="2">
        <f ca="1">motor!AS68</f>
        <v>7.8710261417255492</v>
      </c>
      <c r="M68" s="2">
        <f ca="1">motor!AT68</f>
        <v>8.139663846265119</v>
      </c>
    </row>
    <row r="69" spans="9:13" x14ac:dyDescent="0.2">
      <c r="I69">
        <v>32</v>
      </c>
      <c r="J69" s="120">
        <v>14.221616980663509</v>
      </c>
      <c r="K69" s="2">
        <f ca="1">motor!AR69</f>
        <v>9.3725855596241985</v>
      </c>
      <c r="L69" s="2">
        <f ca="1">motor!AS69</f>
        <v>7.3516699958063585</v>
      </c>
      <c r="M69" s="2">
        <f ca="1">motor!AT69</f>
        <v>6.4171195536052199</v>
      </c>
    </row>
    <row r="70" spans="9:13" x14ac:dyDescent="0.2">
      <c r="I70">
        <v>33</v>
      </c>
      <c r="J70" s="120">
        <v>18.159373751663686</v>
      </c>
      <c r="K70" s="2">
        <f ca="1">motor!AR70</f>
        <v>8.0362857624993911</v>
      </c>
      <c r="L70" s="2">
        <f ca="1">motor!AS70</f>
        <v>8.3077222911521567</v>
      </c>
      <c r="M70" s="2">
        <f ca="1">motor!AT70</f>
        <v>7.4990734487898507</v>
      </c>
    </row>
    <row r="71" spans="9:13" x14ac:dyDescent="0.2">
      <c r="I71">
        <v>34</v>
      </c>
      <c r="J71" s="120">
        <v>16.647817115987944</v>
      </c>
      <c r="K71" s="2">
        <f ca="1">motor!AR71</f>
        <v>8.8442752162296987</v>
      </c>
      <c r="L71" s="2">
        <f ca="1">motor!AS71</f>
        <v>6.7341172177250517</v>
      </c>
      <c r="M71" s="2">
        <f ca="1">motor!AT71</f>
        <v>7.7995023370063379</v>
      </c>
    </row>
    <row r="72" spans="9:13" x14ac:dyDescent="0.2">
      <c r="I72">
        <v>35</v>
      </c>
      <c r="J72" s="120">
        <v>16.558633171404686</v>
      </c>
      <c r="K72" s="2">
        <f ca="1">motor!AR72</f>
        <v>8.7824567028866927</v>
      </c>
      <c r="L72" s="2">
        <f ca="1">motor!AS72</f>
        <v>7.9115568099771263</v>
      </c>
      <c r="M72" s="2">
        <f ca="1">motor!AT72</f>
        <v>7.6032540812502809</v>
      </c>
    </row>
    <row r="73" spans="9:13" x14ac:dyDescent="0.2">
      <c r="I73">
        <v>36</v>
      </c>
      <c r="J73" s="120">
        <v>16.570813403925392</v>
      </c>
      <c r="K73" s="2">
        <f ca="1">motor!AR73</f>
        <v>8.4199913494028067</v>
      </c>
      <c r="L73" s="2">
        <f ca="1">motor!AS73</f>
        <v>7.7324955117450163</v>
      </c>
      <c r="M73" s="2">
        <f ca="1">motor!AT73</f>
        <v>8.3120539761931553</v>
      </c>
    </row>
    <row r="74" spans="9:13" x14ac:dyDescent="0.2">
      <c r="I74">
        <v>37</v>
      </c>
      <c r="J74" s="120">
        <v>17.409828095599611</v>
      </c>
      <c r="K74" s="2">
        <f ca="1">motor!AR74</f>
        <v>5.8966638224659205</v>
      </c>
      <c r="L74" s="2">
        <f ca="1">motor!AS74</f>
        <v>8.225535714140122</v>
      </c>
      <c r="M74" s="2">
        <f ca="1">motor!AT74</f>
        <v>7.867285253093601</v>
      </c>
    </row>
    <row r="75" spans="9:13" x14ac:dyDescent="0.2">
      <c r="I75">
        <v>38</v>
      </c>
      <c r="J75" s="120">
        <v>17.642001490825358</v>
      </c>
      <c r="K75" s="2">
        <f ca="1">motor!AR75</f>
        <v>8.1288706762897629</v>
      </c>
      <c r="L75" s="2">
        <f ca="1">motor!AS75</f>
        <v>7.7191982627078621</v>
      </c>
      <c r="M75" s="2">
        <f ca="1">motor!AT75</f>
        <v>7.5242855322285243</v>
      </c>
    </row>
    <row r="76" spans="9:13" x14ac:dyDescent="0.2">
      <c r="I76">
        <v>39</v>
      </c>
      <c r="J76" s="120">
        <v>17.154840382709047</v>
      </c>
      <c r="K76" s="2">
        <f ca="1">motor!AR76</f>
        <v>7.7934859558658385</v>
      </c>
      <c r="L76" s="2">
        <f ca="1">motor!AS76</f>
        <v>7.3423789056695776</v>
      </c>
      <c r="M76" s="2">
        <f ca="1">motor!AT76</f>
        <v>7.1998214381979784</v>
      </c>
    </row>
    <row r="77" spans="9:13" x14ac:dyDescent="0.2">
      <c r="I77">
        <v>40</v>
      </c>
      <c r="J77" s="120">
        <v>16.212875126521404</v>
      </c>
      <c r="K77" s="2">
        <f ca="1">motor!AR77</f>
        <v>9.0012431102667598</v>
      </c>
      <c r="L77" s="2">
        <f ca="1">motor!AS77</f>
        <v>7.1326858274264406</v>
      </c>
      <c r="M77" s="2">
        <f ca="1">motor!AT77</f>
        <v>8.661917713655102</v>
      </c>
    </row>
    <row r="78" spans="9:13" x14ac:dyDescent="0.2">
      <c r="I78">
        <v>41</v>
      </c>
      <c r="J78" s="120">
        <v>18.514130067672461</v>
      </c>
      <c r="K78" s="2">
        <f ca="1">motor!AR78</f>
        <v>7.4324755978329504</v>
      </c>
      <c r="L78" s="2">
        <f ca="1">motor!AS78</f>
        <v>7.5542927741108521</v>
      </c>
      <c r="M78" s="2">
        <f ca="1">motor!AT78</f>
        <v>7.869596501840074</v>
      </c>
    </row>
    <row r="79" spans="9:13" x14ac:dyDescent="0.2">
      <c r="I79">
        <v>42</v>
      </c>
      <c r="J79" s="120">
        <v>13.712497121153143</v>
      </c>
      <c r="K79" s="2">
        <f ca="1">motor!AR79</f>
        <v>8.5471453822766748</v>
      </c>
      <c r="L79" s="2">
        <f ca="1">motor!AS79</f>
        <v>8.5465602585609517</v>
      </c>
      <c r="M79" s="2">
        <f ca="1">motor!AT79</f>
        <v>7.2569563967456228</v>
      </c>
    </row>
    <row r="80" spans="9:13" x14ac:dyDescent="0.2">
      <c r="I80">
        <v>43</v>
      </c>
      <c r="J80" s="120">
        <v>17.522957925598114</v>
      </c>
      <c r="K80" s="2">
        <f ca="1">motor!AR80</f>
        <v>7.7469374687883272</v>
      </c>
      <c r="L80" s="2">
        <f ca="1">motor!AS80</f>
        <v>6.5310898051716659</v>
      </c>
      <c r="M80" s="2">
        <f ca="1">motor!AT80</f>
        <v>8.8136287926923149</v>
      </c>
    </row>
    <row r="81" spans="9:13" x14ac:dyDescent="0.2">
      <c r="I81">
        <v>44</v>
      </c>
      <c r="J81" s="120">
        <v>17.265081715411224</v>
      </c>
      <c r="K81" s="2">
        <f ca="1">motor!AR81</f>
        <v>8.2483195498948163</v>
      </c>
      <c r="L81" s="2">
        <f ca="1">motor!AS81</f>
        <v>8.1057220558060035</v>
      </c>
      <c r="M81" s="2">
        <f ca="1">motor!AT81</f>
        <v>6.5474340876245911</v>
      </c>
    </row>
    <row r="82" spans="9:13" x14ac:dyDescent="0.2">
      <c r="I82">
        <v>45</v>
      </c>
      <c r="J82" s="120">
        <v>19.160014296335209</v>
      </c>
      <c r="K82" s="2">
        <f ca="1">motor!AR82</f>
        <v>6.8779500102267717</v>
      </c>
      <c r="L82" s="2">
        <f ca="1">motor!AS82</f>
        <v>7.0773463709497024</v>
      </c>
      <c r="M82" s="2">
        <f ca="1">motor!AT82</f>
        <v>8.1178694400834353</v>
      </c>
    </row>
    <row r="83" spans="9:13" x14ac:dyDescent="0.2">
      <c r="I83">
        <v>46</v>
      </c>
      <c r="J83" s="120">
        <v>16.218980645120542</v>
      </c>
      <c r="K83" s="2">
        <f ca="1">motor!AR83</f>
        <v>8.6611527460186792</v>
      </c>
      <c r="L83" s="2">
        <f ca="1">motor!AS83</f>
        <v>8.8620358748880825</v>
      </c>
      <c r="M83" s="2">
        <f ca="1">motor!AT83</f>
        <v>7.6110680548179879</v>
      </c>
    </row>
    <row r="84" spans="9:13" x14ac:dyDescent="0.2">
      <c r="I84">
        <v>47</v>
      </c>
      <c r="J84" s="120">
        <v>18.244977200626419</v>
      </c>
      <c r="K84" s="2">
        <f ca="1">motor!AR84</f>
        <v>8.6966641017314856</v>
      </c>
      <c r="L84" s="2">
        <f ca="1">motor!AS84</f>
        <v>8.0787281266993336</v>
      </c>
      <c r="M84" s="2">
        <f ca="1">motor!AT84</f>
        <v>6.6923096830152851</v>
      </c>
    </row>
    <row r="85" spans="9:13" x14ac:dyDescent="0.2">
      <c r="I85">
        <v>48</v>
      </c>
      <c r="J85" s="120">
        <v>16.481140914489437</v>
      </c>
      <c r="K85" s="2">
        <f ca="1">motor!AR85</f>
        <v>8.1662466456295597</v>
      </c>
      <c r="L85" s="2">
        <f ca="1">motor!AS85</f>
        <v>7.7164183491260907</v>
      </c>
      <c r="M85" s="2">
        <f ca="1">motor!AT85</f>
        <v>6.7772302494492163</v>
      </c>
    </row>
    <row r="86" spans="9:13" x14ac:dyDescent="0.2">
      <c r="I86">
        <v>49</v>
      </c>
      <c r="J86" s="120">
        <v>17.514298009905897</v>
      </c>
      <c r="K86" s="2">
        <f ca="1">motor!AR86</f>
        <v>5.9243014232709719</v>
      </c>
      <c r="L86" s="2">
        <f ca="1">motor!AS86</f>
        <v>8.0587189152531558</v>
      </c>
      <c r="M86" s="2">
        <f ca="1">motor!AT86</f>
        <v>6.9935877490335727</v>
      </c>
    </row>
    <row r="87" spans="9:13" x14ac:dyDescent="0.2">
      <c r="I87">
        <v>50</v>
      </c>
      <c r="J87" s="120">
        <v>18.009232121954117</v>
      </c>
      <c r="K87" s="2">
        <f ca="1">motor!AR87</f>
        <v>7.4086955012367319</v>
      </c>
      <c r="L87" s="2">
        <f ca="1">motor!AS87</f>
        <v>7.1671686156773688</v>
      </c>
      <c r="M87" s="2">
        <f ca="1">motor!AT87</f>
        <v>8.0926067423117374</v>
      </c>
    </row>
    <row r="88" spans="9:13" x14ac:dyDescent="0.2">
      <c r="I88">
        <v>51</v>
      </c>
      <c r="J88" s="120">
        <v>18.840143228453062</v>
      </c>
      <c r="K88" s="2">
        <f ca="1">motor!AR88</f>
        <v>7.8796109182658602</v>
      </c>
      <c r="L88" s="2">
        <f ca="1">motor!AS88</f>
        <v>6.7424515174323636</v>
      </c>
      <c r="M88" s="2">
        <f ca="1">motor!AT88</f>
        <v>8.5071171402443664</v>
      </c>
    </row>
    <row r="89" spans="9:13" x14ac:dyDescent="0.2">
      <c r="I89">
        <v>52</v>
      </c>
      <c r="J89" s="120">
        <v>18.14315611163881</v>
      </c>
      <c r="K89" s="2">
        <f ca="1">motor!AR89</f>
        <v>7.2617954711865549</v>
      </c>
      <c r="L89" s="2">
        <f ca="1">motor!AS89</f>
        <v>7.0618113110453136</v>
      </c>
      <c r="M89" s="2">
        <f ca="1">motor!AT89</f>
        <v>8.155086542730885</v>
      </c>
    </row>
    <row r="90" spans="9:13" x14ac:dyDescent="0.2">
      <c r="I90">
        <v>53</v>
      </c>
      <c r="J90" s="120">
        <v>13.907852852515553</v>
      </c>
      <c r="K90" s="2">
        <f ca="1">motor!AR90</f>
        <v>6.5781196522776586</v>
      </c>
      <c r="L90" s="2">
        <f ca="1">motor!AS90</f>
        <v>8.1377267530526609</v>
      </c>
      <c r="M90" s="2">
        <f ca="1">motor!AT90</f>
        <v>8.1319263954235339</v>
      </c>
    </row>
    <row r="91" spans="9:13" x14ac:dyDescent="0.2">
      <c r="I91">
        <v>54</v>
      </c>
      <c r="J91" s="120">
        <v>17.126818527574262</v>
      </c>
      <c r="K91" s="2">
        <f ca="1">motor!AR91</f>
        <v>6.7755833124606859</v>
      </c>
      <c r="L91" s="2">
        <f ca="1">motor!AS91</f>
        <v>7.8497799824779868</v>
      </c>
      <c r="M91" s="2">
        <f ca="1">motor!AT91</f>
        <v>8.3985589218679753</v>
      </c>
    </row>
    <row r="92" spans="9:13" x14ac:dyDescent="0.2">
      <c r="I92">
        <v>55</v>
      </c>
      <c r="J92" s="120">
        <v>17.572493698917082</v>
      </c>
      <c r="K92" s="2">
        <f ca="1">motor!AR92</f>
        <v>6.4703251442793892</v>
      </c>
      <c r="L92" s="2">
        <f ca="1">motor!AS92</f>
        <v>8.2673181166542573</v>
      </c>
      <c r="M92" s="2">
        <f ca="1">motor!AT92</f>
        <v>7.6977443384673885</v>
      </c>
    </row>
    <row r="93" spans="9:13" x14ac:dyDescent="0.2">
      <c r="I93">
        <v>56</v>
      </c>
      <c r="J93" s="120">
        <v>20.634966812869788</v>
      </c>
      <c r="K93" s="2">
        <f ca="1">motor!AR93</f>
        <v>6.5303139690721475</v>
      </c>
      <c r="L93" s="2">
        <f ca="1">motor!AS93</f>
        <v>8.2536074647671356</v>
      </c>
      <c r="M93" s="2">
        <f ca="1">motor!AT93</f>
        <v>5.836481285462094</v>
      </c>
    </row>
    <row r="94" spans="9:13" x14ac:dyDescent="0.2">
      <c r="I94">
        <v>57</v>
      </c>
      <c r="J94" s="120">
        <v>19.514587954648068</v>
      </c>
      <c r="K94" s="2">
        <f ca="1">motor!AR94</f>
        <v>8.2129168477799244</v>
      </c>
      <c r="L94" s="2">
        <f ca="1">motor!AS94</f>
        <v>8.3602098531118489</v>
      </c>
      <c r="M94" s="2">
        <f ca="1">motor!AT94</f>
        <v>9.8917034620779294</v>
      </c>
    </row>
    <row r="95" spans="9:13" x14ac:dyDescent="0.2">
      <c r="I95">
        <v>58</v>
      </c>
      <c r="J95" s="120">
        <v>15.457105020386395</v>
      </c>
      <c r="K95" s="2">
        <f ca="1">motor!AR95</f>
        <v>8.5563117096784147</v>
      </c>
      <c r="L95" s="2">
        <f ca="1">motor!AS95</f>
        <v>7.5867339674608791</v>
      </c>
      <c r="M95" s="2">
        <f ca="1">motor!AT95</f>
        <v>7.0747287050891501</v>
      </c>
    </row>
    <row r="96" spans="9:13" x14ac:dyDescent="0.2">
      <c r="I96">
        <v>59</v>
      </c>
      <c r="J96" s="120">
        <v>18.8841084139932</v>
      </c>
      <c r="K96" s="2">
        <f ca="1">motor!AR96</f>
        <v>6.8692307778243515</v>
      </c>
      <c r="L96" s="2">
        <f ca="1">motor!AS96</f>
        <v>8.1004798608625102</v>
      </c>
      <c r="M96" s="2">
        <f ca="1">motor!AT96</f>
        <v>9.4541380755877711</v>
      </c>
    </row>
    <row r="97" spans="9:13" x14ac:dyDescent="0.2">
      <c r="I97">
        <v>60</v>
      </c>
      <c r="J97" s="120">
        <v>17.404730958507422</v>
      </c>
      <c r="K97" s="2">
        <f ca="1">motor!AR97</f>
        <v>7.331667275276085</v>
      </c>
      <c r="L97" s="2">
        <f ca="1">motor!AS97</f>
        <v>6.8528224434404565</v>
      </c>
      <c r="M97" s="2">
        <f ca="1">motor!AT97</f>
        <v>8.478119512359342</v>
      </c>
    </row>
    <row r="98" spans="9:13" x14ac:dyDescent="0.2">
      <c r="I98">
        <v>61</v>
      </c>
      <c r="J98" s="120">
        <v>14.707725498212065</v>
      </c>
      <c r="K98" s="2">
        <f ca="1">motor!AR98</f>
        <v>7.6144263366860301</v>
      </c>
      <c r="L98" s="2">
        <f ca="1">motor!AS98</f>
        <v>7.866793155158387</v>
      </c>
      <c r="M98" s="2">
        <f ca="1">motor!AT98</f>
        <v>7.2020208060557227</v>
      </c>
    </row>
    <row r="99" spans="9:13" x14ac:dyDescent="0.2">
      <c r="I99">
        <v>62</v>
      </c>
      <c r="J99" s="120">
        <v>16.963340043318556</v>
      </c>
      <c r="K99" s="2">
        <f ca="1">motor!AR99</f>
        <v>8.3739727517566234</v>
      </c>
      <c r="L99" s="2">
        <f ca="1">motor!AS99</f>
        <v>7.5792516732774606</v>
      </c>
      <c r="M99" s="2">
        <f ca="1">motor!AT99</f>
        <v>7.064787424051894</v>
      </c>
    </row>
    <row r="100" spans="9:13" x14ac:dyDescent="0.2">
      <c r="I100">
        <v>63</v>
      </c>
      <c r="J100" s="120">
        <v>18.489054096458471</v>
      </c>
      <c r="K100" s="2">
        <f ca="1">motor!AR100</f>
        <v>7.9169135420696417</v>
      </c>
      <c r="L100" s="2">
        <f ca="1">motor!AS100</f>
        <v>7.9149933630390983</v>
      </c>
      <c r="M100" s="2">
        <f ca="1">motor!AT100</f>
        <v>7.6900838936447569</v>
      </c>
    </row>
    <row r="101" spans="9:13" x14ac:dyDescent="0.2">
      <c r="I101">
        <v>64</v>
      </c>
      <c r="J101" s="120">
        <v>17.740775550270374</v>
      </c>
      <c r="K101" s="2">
        <f ca="1">motor!AR101</f>
        <v>7.9607649332701147</v>
      </c>
      <c r="L101" s="2">
        <f ca="1">motor!AS101</f>
        <v>6.8216875736747493</v>
      </c>
      <c r="M101" s="2">
        <f ca="1">motor!AT101</f>
        <v>8.3758191841341887</v>
      </c>
    </row>
    <row r="102" spans="9:13" x14ac:dyDescent="0.2">
      <c r="I102">
        <v>65</v>
      </c>
      <c r="J102" s="120">
        <v>18.891238810076985</v>
      </c>
      <c r="K102" s="2">
        <f ca="1">motor!AR102</f>
        <v>7.1514003963033081</v>
      </c>
      <c r="L102" s="2">
        <f ca="1">motor!AS102</f>
        <v>7.4019574569874633</v>
      </c>
      <c r="M102" s="2">
        <f ca="1">motor!AT102</f>
        <v>7.2097854983178395</v>
      </c>
    </row>
    <row r="103" spans="9:13" x14ac:dyDescent="0.2">
      <c r="I103">
        <v>66</v>
      </c>
      <c r="J103" s="120">
        <v>17.985803349681532</v>
      </c>
      <c r="K103" s="2">
        <f ca="1">motor!AR103</f>
        <v>7.3696401918832253</v>
      </c>
      <c r="L103" s="2">
        <f ca="1">motor!AS103</f>
        <v>9.6527588814934298</v>
      </c>
      <c r="M103" s="2">
        <f ca="1">motor!AT103</f>
        <v>7.7932256811768887</v>
      </c>
    </row>
    <row r="104" spans="9:13" x14ac:dyDescent="0.2">
      <c r="I104">
        <v>67</v>
      </c>
      <c r="J104" s="120">
        <v>17.418342157409121</v>
      </c>
      <c r="K104" s="2">
        <f ca="1">motor!AR104</f>
        <v>8.0048234219740522</v>
      </c>
      <c r="L104" s="2">
        <f ca="1">motor!AS104</f>
        <v>8.7093421303221561</v>
      </c>
      <c r="M104" s="2">
        <f ca="1">motor!AT104</f>
        <v>8.5382609220100907</v>
      </c>
    </row>
    <row r="105" spans="9:13" x14ac:dyDescent="0.2">
      <c r="I105">
        <v>68</v>
      </c>
      <c r="J105" s="120">
        <v>18.408489159310708</v>
      </c>
      <c r="K105" s="2">
        <f ca="1">motor!AR105</f>
        <v>5.7815770968430051</v>
      </c>
      <c r="L105" s="2">
        <f ca="1">motor!AS105</f>
        <v>7.5729380042198313</v>
      </c>
      <c r="M105" s="2">
        <f ca="1">motor!AT105</f>
        <v>8.4049343607863118</v>
      </c>
    </row>
    <row r="106" spans="9:13" x14ac:dyDescent="0.2">
      <c r="I106">
        <v>69</v>
      </c>
      <c r="J106" s="120">
        <v>15.623138456555465</v>
      </c>
      <c r="K106" s="2">
        <f ca="1">motor!AR106</f>
        <v>8.2423608700738882</v>
      </c>
      <c r="L106" s="2">
        <f ca="1">motor!AS106</f>
        <v>8.787501544922554</v>
      </c>
      <c r="M106" s="2">
        <f ca="1">motor!AT106</f>
        <v>9.4084604461103165</v>
      </c>
    </row>
    <row r="107" spans="9:13" x14ac:dyDescent="0.2">
      <c r="I107">
        <v>70</v>
      </c>
      <c r="J107" s="120">
        <v>17.322331192603567</v>
      </c>
      <c r="K107" s="2">
        <f ca="1">motor!AR107</f>
        <v>7.4152423669697072</v>
      </c>
      <c r="L107" s="2">
        <f ca="1">motor!AS107</f>
        <v>7.8744091548156945</v>
      </c>
      <c r="M107" s="2">
        <f ca="1">motor!AT107</f>
        <v>7.1307009379818167</v>
      </c>
    </row>
    <row r="108" spans="9:13" x14ac:dyDescent="0.2">
      <c r="I108">
        <v>71</v>
      </c>
      <c r="J108" s="120">
        <v>19.280818939923243</v>
      </c>
      <c r="K108" s="2">
        <f ca="1">motor!AR108</f>
        <v>9.0715590769601953</v>
      </c>
      <c r="L108" s="2">
        <f ca="1">motor!AS108</f>
        <v>6.7414444547230152</v>
      </c>
      <c r="M108" s="2">
        <f ca="1">motor!AT108</f>
        <v>7.8005204037289166</v>
      </c>
    </row>
    <row r="109" spans="9:13" x14ac:dyDescent="0.2">
      <c r="I109">
        <v>72</v>
      </c>
      <c r="J109" s="120">
        <v>19.285557427817206</v>
      </c>
      <c r="K109" s="2">
        <f ca="1">motor!AR109</f>
        <v>7.1755407345369235</v>
      </c>
      <c r="L109" s="2">
        <f ca="1">motor!AS109</f>
        <v>7.0136197265056719</v>
      </c>
      <c r="M109" s="2">
        <f ca="1">motor!AT109</f>
        <v>7.8189122386378545</v>
      </c>
    </row>
    <row r="110" spans="9:13" x14ac:dyDescent="0.2">
      <c r="I110">
        <v>73</v>
      </c>
      <c r="J110" s="120">
        <v>16.598889441420884</v>
      </c>
      <c r="K110" s="2">
        <f ca="1">motor!AR110</f>
        <v>8.0678470847782009</v>
      </c>
      <c r="L110" s="2">
        <f ca="1">motor!AS110</f>
        <v>7.9822144469192109</v>
      </c>
      <c r="M110" s="2">
        <f ca="1">motor!AT110</f>
        <v>9.2707359083177785</v>
      </c>
    </row>
    <row r="111" spans="9:13" x14ac:dyDescent="0.2">
      <c r="I111">
        <v>74</v>
      </c>
      <c r="J111" s="120">
        <v>19.075849369027676</v>
      </c>
      <c r="K111" s="2">
        <f ca="1">motor!AR111</f>
        <v>7.5645402810947129</v>
      </c>
      <c r="L111" s="2">
        <f ca="1">motor!AS111</f>
        <v>6.7624047103267495</v>
      </c>
      <c r="M111" s="2">
        <f ca="1">motor!AT111</f>
        <v>7.2992746939331621</v>
      </c>
    </row>
    <row r="112" spans="9:13" x14ac:dyDescent="0.2">
      <c r="I112">
        <v>75</v>
      </c>
      <c r="J112" s="120">
        <v>17.058578888463181</v>
      </c>
      <c r="K112" s="2">
        <f ca="1">motor!AR112</f>
        <v>7.6398458368834445</v>
      </c>
      <c r="L112" s="2">
        <f ca="1">motor!AS112</f>
        <v>8.592605719788418</v>
      </c>
      <c r="M112" s="2">
        <f ca="1">motor!AT112</f>
        <v>8.1864026415415907</v>
      </c>
    </row>
    <row r="113" spans="9:13" x14ac:dyDescent="0.2">
      <c r="I113">
        <v>76</v>
      </c>
      <c r="J113" s="120">
        <v>17.089261397250652</v>
      </c>
      <c r="K113" s="2">
        <f ca="1">motor!AR113</f>
        <v>7.3159307102301483</v>
      </c>
      <c r="L113" s="2">
        <f ca="1">motor!AS113</f>
        <v>7.9487770241688187</v>
      </c>
      <c r="M113" s="2">
        <f ca="1">motor!AT113</f>
        <v>7.5885579459388914</v>
      </c>
    </row>
    <row r="114" spans="9:13" x14ac:dyDescent="0.2">
      <c r="I114">
        <v>77</v>
      </c>
      <c r="J114" s="120">
        <v>19.474270890528473</v>
      </c>
      <c r="K114" s="2">
        <f ca="1">motor!AR114</f>
        <v>10.325830434284356</v>
      </c>
      <c r="L114" s="2">
        <f ca="1">motor!AS114</f>
        <v>8.6950766686634644</v>
      </c>
      <c r="M114" s="2">
        <f ca="1">motor!AT114</f>
        <v>7.663414971845949</v>
      </c>
    </row>
    <row r="115" spans="9:13" x14ac:dyDescent="0.2">
      <c r="I115">
        <v>78</v>
      </c>
      <c r="J115" s="120">
        <v>17.787960403153896</v>
      </c>
      <c r="K115" s="2">
        <f ca="1">motor!AR115</f>
        <v>8.5266119976182448</v>
      </c>
      <c r="L115" s="2">
        <f ca="1">motor!AS115</f>
        <v>8.1672974255009922</v>
      </c>
      <c r="M115" s="2">
        <f ca="1">motor!AT115</f>
        <v>7.1389090555179191</v>
      </c>
    </row>
    <row r="116" spans="9:13" x14ac:dyDescent="0.2">
      <c r="I116">
        <v>79</v>
      </c>
      <c r="J116" s="120">
        <v>18.304416743938543</v>
      </c>
      <c r="K116" s="2">
        <f ca="1">motor!AR116</f>
        <v>8.4932230128207156</v>
      </c>
      <c r="L116" s="2">
        <f ca="1">motor!AS116</f>
        <v>8.3375233079330844</v>
      </c>
      <c r="M116" s="2">
        <f ca="1">motor!AT116</f>
        <v>8.306312426911326</v>
      </c>
    </row>
    <row r="117" spans="9:13" x14ac:dyDescent="0.2">
      <c r="I117">
        <v>80</v>
      </c>
      <c r="J117" s="120">
        <v>14.746428614479502</v>
      </c>
      <c r="K117" s="2">
        <f ca="1">motor!AR117</f>
        <v>6.5772707807306245</v>
      </c>
      <c r="L117" s="2">
        <f ca="1">motor!AS117</f>
        <v>7.0563619492707339</v>
      </c>
      <c r="M117" s="2">
        <f ca="1">motor!AT117</f>
        <v>7.0037478580008985</v>
      </c>
    </row>
    <row r="118" spans="9:13" x14ac:dyDescent="0.2">
      <c r="I118">
        <v>81</v>
      </c>
      <c r="J118" s="120">
        <v>16.740089798635378</v>
      </c>
      <c r="K118" s="2">
        <f ca="1">motor!AR118</f>
        <v>7.1380015457001651</v>
      </c>
      <c r="L118" s="2">
        <f ca="1">motor!AS118</f>
        <v>6.0319527751787811</v>
      </c>
      <c r="M118" s="2">
        <f ca="1">motor!AT118</f>
        <v>8.6240848038303426</v>
      </c>
    </row>
    <row r="119" spans="9:13" x14ac:dyDescent="0.2">
      <c r="I119">
        <v>82</v>
      </c>
      <c r="J119" s="120">
        <v>18.641653640297392</v>
      </c>
      <c r="K119" s="2">
        <f ca="1">motor!AR119</f>
        <v>7.5873584750816221</v>
      </c>
      <c r="L119" s="2">
        <f ca="1">motor!AS119</f>
        <v>8.4324438474240981</v>
      </c>
      <c r="M119" s="2">
        <f ca="1">motor!AT119</f>
        <v>8.4060362991299282</v>
      </c>
    </row>
    <row r="120" spans="9:13" x14ac:dyDescent="0.2">
      <c r="I120">
        <v>83</v>
      </c>
      <c r="J120" s="120">
        <v>15.315167682355328</v>
      </c>
      <c r="K120" s="2">
        <f ca="1">motor!AR120</f>
        <v>7.0840260346114254</v>
      </c>
      <c r="L120" s="2">
        <f ca="1">motor!AS120</f>
        <v>8.5178013739965195</v>
      </c>
      <c r="M120" s="2">
        <f ca="1">motor!AT120</f>
        <v>6.5508155838550994</v>
      </c>
    </row>
    <row r="121" spans="9:13" x14ac:dyDescent="0.2">
      <c r="I121">
        <v>84</v>
      </c>
      <c r="J121" s="120">
        <v>18.921284271773391</v>
      </c>
      <c r="K121" s="2">
        <f ca="1">motor!AR121</f>
        <v>6.4944127935457576</v>
      </c>
      <c r="L121" s="2">
        <f ca="1">motor!AS121</f>
        <v>6.053631757679943</v>
      </c>
      <c r="M121" s="2">
        <f ca="1">motor!AT121</f>
        <v>6.7420295529304948</v>
      </c>
    </row>
    <row r="122" spans="9:13" x14ac:dyDescent="0.2">
      <c r="I122">
        <v>85</v>
      </c>
      <c r="J122" s="120">
        <v>19.960742990574193</v>
      </c>
      <c r="K122" s="2">
        <f ca="1">motor!AR122</f>
        <v>7.9085188072956969</v>
      </c>
      <c r="L122" s="2">
        <f ca="1">motor!AS122</f>
        <v>7.1045236663922937</v>
      </c>
      <c r="M122" s="2">
        <f ca="1">motor!AT122</f>
        <v>8.5806146729629997</v>
      </c>
    </row>
    <row r="123" spans="9:13" x14ac:dyDescent="0.2">
      <c r="I123">
        <v>86</v>
      </c>
      <c r="J123" s="120">
        <v>17.932794789822761</v>
      </c>
      <c r="K123" s="2">
        <f ca="1">motor!AR123</f>
        <v>8.0475538973792045</v>
      </c>
      <c r="L123" s="2">
        <f ca="1">motor!AS123</f>
        <v>6.7233150286638761</v>
      </c>
      <c r="M123" s="2">
        <f ca="1">motor!AT123</f>
        <v>7.9996920538979808</v>
      </c>
    </row>
    <row r="124" spans="9:13" x14ac:dyDescent="0.2">
      <c r="I124">
        <v>87</v>
      </c>
      <c r="J124" s="120">
        <v>16.929044981905275</v>
      </c>
      <c r="K124" s="2">
        <f ca="1">motor!AR124</f>
        <v>8.0261970678966446</v>
      </c>
      <c r="L124" s="2">
        <f ca="1">motor!AS124</f>
        <v>6.5477344510623023</v>
      </c>
      <c r="M124" s="2">
        <f ca="1">motor!AT124</f>
        <v>7.1008719345696285</v>
      </c>
    </row>
    <row r="125" spans="9:13" x14ac:dyDescent="0.2">
      <c r="I125">
        <v>88</v>
      </c>
      <c r="J125" s="120">
        <v>18.651765189816246</v>
      </c>
      <c r="K125" s="2">
        <f ca="1">motor!AR125</f>
        <v>8.2690085422600674</v>
      </c>
      <c r="L125" s="2">
        <f ca="1">motor!AS125</f>
        <v>7.7922451924038452</v>
      </c>
      <c r="M125" s="2">
        <f ca="1">motor!AT125</f>
        <v>6.3692029490195932</v>
      </c>
    </row>
    <row r="126" spans="9:13" x14ac:dyDescent="0.2">
      <c r="I126">
        <v>89</v>
      </c>
      <c r="J126" s="120">
        <v>17.582140192672487</v>
      </c>
      <c r="K126" s="2">
        <f ca="1">motor!AR126</f>
        <v>8.7250776678098632</v>
      </c>
      <c r="L126" s="2">
        <f ca="1">motor!AS126</f>
        <v>8.3357111670204294</v>
      </c>
      <c r="M126" s="2">
        <f ca="1">motor!AT126</f>
        <v>7.8458134924189249</v>
      </c>
    </row>
    <row r="127" spans="9:13" x14ac:dyDescent="0.2">
      <c r="I127">
        <v>90</v>
      </c>
      <c r="J127" s="120">
        <v>15.42650205876558</v>
      </c>
      <c r="K127" s="2">
        <f ca="1">motor!AR127</f>
        <v>8.4071840972358114</v>
      </c>
      <c r="L127" s="2">
        <f ca="1">motor!AS127</f>
        <v>8.4297904339384555</v>
      </c>
      <c r="M127" s="2">
        <f ca="1">motor!AT127</f>
        <v>6.1820174225291655</v>
      </c>
    </row>
    <row r="128" spans="9:13" x14ac:dyDescent="0.2">
      <c r="I128">
        <v>91</v>
      </c>
      <c r="J128" s="120">
        <v>17.117037757768973</v>
      </c>
      <c r="K128" s="2">
        <f ca="1">motor!AR128</f>
        <v>7.7129017768241512</v>
      </c>
      <c r="L128" s="2">
        <f ca="1">motor!AS128</f>
        <v>7.2087057454816739</v>
      </c>
      <c r="M128" s="2">
        <f ca="1">motor!AT128</f>
        <v>7.2786303914655806</v>
      </c>
    </row>
    <row r="129" spans="9:13" x14ac:dyDescent="0.2">
      <c r="I129">
        <v>92</v>
      </c>
      <c r="J129" s="120">
        <v>20.252954662347506</v>
      </c>
      <c r="K129" s="2">
        <f ca="1">motor!AR129</f>
        <v>7.5897138086217613</v>
      </c>
      <c r="L129" s="2">
        <f ca="1">motor!AS129</f>
        <v>6.7506684235923196</v>
      </c>
      <c r="M129" s="2">
        <f ca="1">motor!AT129</f>
        <v>7.1293203424536831</v>
      </c>
    </row>
    <row r="130" spans="9:13" x14ac:dyDescent="0.2">
      <c r="I130">
        <v>93</v>
      </c>
      <c r="J130" s="120">
        <v>19.410154364162263</v>
      </c>
      <c r="K130" s="2">
        <f ca="1">motor!AR130</f>
        <v>6.5186386066644264</v>
      </c>
      <c r="L130" s="2">
        <f ca="1">motor!AS130</f>
        <v>8.3494066113472911</v>
      </c>
      <c r="M130" s="2">
        <f ca="1">motor!AT130</f>
        <v>8.5118179477172529</v>
      </c>
    </row>
    <row r="131" spans="9:13" x14ac:dyDescent="0.2">
      <c r="I131">
        <v>94</v>
      </c>
      <c r="J131" s="120">
        <v>20.717155002762485</v>
      </c>
      <c r="K131" s="2">
        <f ca="1">motor!AR131</f>
        <v>8.309926067524227</v>
      </c>
      <c r="L131" s="2">
        <f ca="1">motor!AS131</f>
        <v>7.1693579394247626</v>
      </c>
      <c r="M131" s="2">
        <f ca="1">motor!AT131</f>
        <v>8.0755105106054437</v>
      </c>
    </row>
    <row r="132" spans="9:13" x14ac:dyDescent="0.2">
      <c r="I132">
        <v>95</v>
      </c>
      <c r="J132" s="120">
        <v>23.654646681854508</v>
      </c>
      <c r="K132" s="2">
        <f ca="1">motor!AR132</f>
        <v>7.0931337351250594</v>
      </c>
      <c r="L132" s="2">
        <f ca="1">motor!AS132</f>
        <v>8.7532692994520218</v>
      </c>
      <c r="M132" s="2">
        <f ca="1">motor!AT132</f>
        <v>7.3944135804882825</v>
      </c>
    </row>
    <row r="133" spans="9:13" x14ac:dyDescent="0.2">
      <c r="I133">
        <v>96</v>
      </c>
      <c r="J133" s="120">
        <v>24.804796310245433</v>
      </c>
      <c r="K133" s="2">
        <f ca="1">motor!AR133</f>
        <v>8.4879014896045444</v>
      </c>
      <c r="L133" s="2">
        <f ca="1">motor!AS133</f>
        <v>9.2498552353911698</v>
      </c>
      <c r="M133" s="2">
        <f ca="1">motor!AT133</f>
        <v>7.7445587903157973</v>
      </c>
    </row>
    <row r="134" spans="9:13" x14ac:dyDescent="0.2">
      <c r="I134">
        <v>97</v>
      </c>
      <c r="J134" s="120">
        <v>22.793915192228759</v>
      </c>
      <c r="K134" s="2">
        <f ca="1">motor!AR134</f>
        <v>7.4583089743085784</v>
      </c>
      <c r="L134" s="2">
        <f ca="1">motor!AS134</f>
        <v>9.1656597066786745</v>
      </c>
      <c r="M134" s="2">
        <f ca="1">motor!AT134</f>
        <v>6.5585791012058676</v>
      </c>
    </row>
    <row r="135" spans="9:13" x14ac:dyDescent="0.2">
      <c r="I135">
        <v>98</v>
      </c>
      <c r="J135" s="120">
        <v>23.000556131949075</v>
      </c>
      <c r="K135" s="2">
        <f ca="1">motor!AR135</f>
        <v>7.2801194100497275</v>
      </c>
      <c r="L135" s="2">
        <f ca="1">motor!AS135</f>
        <v>6.3542862851587101</v>
      </c>
      <c r="M135" s="2">
        <f ca="1">motor!AT135</f>
        <v>7.8830569699497044</v>
      </c>
    </row>
    <row r="136" spans="9:13" x14ac:dyDescent="0.2">
      <c r="I136">
        <v>99</v>
      </c>
      <c r="J136" s="120">
        <v>23.625206690676485</v>
      </c>
      <c r="K136" s="2">
        <f ca="1">motor!AR136</f>
        <v>8.1115035775684063</v>
      </c>
      <c r="L136" s="2">
        <f ca="1">motor!AS136</f>
        <v>6.9898822090197541</v>
      </c>
      <c r="M136" s="2">
        <f ca="1">motor!AT136</f>
        <v>8.4196648714916495</v>
      </c>
    </row>
    <row r="137" spans="9:13" x14ac:dyDescent="0.2">
      <c r="I137">
        <v>100</v>
      </c>
      <c r="J137" s="120">
        <v>29.773701898983777</v>
      </c>
      <c r="K137" s="2">
        <f ca="1">motor!AR137</f>
        <v>8.2551134694565036</v>
      </c>
      <c r="L137" s="2">
        <f ca="1">motor!AS137</f>
        <v>7.165280712057891</v>
      </c>
      <c r="M137" s="2">
        <f ca="1">motor!AT137</f>
        <v>7.817580989635915</v>
      </c>
    </row>
  </sheetData>
  <sheetProtection password="DA71" sheet="1" objects="1" scenarios="1"/>
  <mergeCells count="2">
    <mergeCell ref="D35:E35"/>
    <mergeCell ref="B35:C35"/>
  </mergeCells>
  <phoneticPr fontId="2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M21"/>
  <sheetViews>
    <sheetView workbookViewId="0">
      <selection activeCell="E21" sqref="E21"/>
    </sheetView>
  </sheetViews>
  <sheetFormatPr defaultRowHeight="12.75" x14ac:dyDescent="0.2"/>
  <sheetData>
    <row r="1" spans="1:13" ht="15" x14ac:dyDescent="0.25">
      <c r="A1" s="157" t="s">
        <v>185</v>
      </c>
      <c r="B1" s="157"/>
      <c r="C1" s="157"/>
      <c r="D1" s="157"/>
      <c r="E1" s="157"/>
      <c r="F1" s="157"/>
      <c r="G1" s="157"/>
      <c r="H1" s="157"/>
      <c r="I1" s="157"/>
      <c r="J1" s="157" t="s">
        <v>191</v>
      </c>
      <c r="K1" s="157"/>
      <c r="L1" s="157"/>
      <c r="M1" s="157"/>
    </row>
    <row r="2" spans="1:13" ht="23.25" x14ac:dyDescent="0.35">
      <c r="A2" s="158" t="s">
        <v>186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</row>
    <row r="5" spans="1:13" ht="15" x14ac:dyDescent="0.25">
      <c r="D5" s="165" t="s">
        <v>190</v>
      </c>
      <c r="E5" s="165"/>
      <c r="F5" s="165"/>
      <c r="G5" s="165"/>
      <c r="H5" s="165"/>
      <c r="I5" s="165"/>
      <c r="J5" s="165"/>
    </row>
    <row r="7" spans="1:13" ht="13.5" thickBot="1" x14ac:dyDescent="0.25"/>
    <row r="8" spans="1:13" x14ac:dyDescent="0.2">
      <c r="B8" s="136"/>
      <c r="C8" s="44"/>
      <c r="D8" s="66"/>
      <c r="E8" s="66"/>
      <c r="F8" s="66"/>
      <c r="G8" s="66" t="s">
        <v>174</v>
      </c>
      <c r="H8" s="66"/>
      <c r="I8" s="66"/>
      <c r="J8" s="67"/>
    </row>
    <row r="9" spans="1:13" x14ac:dyDescent="0.2">
      <c r="B9" s="137"/>
      <c r="C9" s="138"/>
      <c r="D9" s="139">
        <v>-1</v>
      </c>
      <c r="E9" s="140">
        <v>-0.3</v>
      </c>
      <c r="F9" s="140">
        <v>-0.2</v>
      </c>
      <c r="G9" s="140">
        <v>-0.1</v>
      </c>
      <c r="H9" s="141">
        <v>0</v>
      </c>
      <c r="I9" s="141" t="s">
        <v>175</v>
      </c>
      <c r="J9" s="142" t="s">
        <v>176</v>
      </c>
    </row>
    <row r="10" spans="1:13" x14ac:dyDescent="0.2">
      <c r="B10" s="137"/>
      <c r="C10" s="138"/>
      <c r="D10" s="161">
        <v>10</v>
      </c>
      <c r="E10" s="143">
        <v>51240</v>
      </c>
      <c r="F10" s="143">
        <v>58560</v>
      </c>
      <c r="G10" s="143">
        <v>65880</v>
      </c>
      <c r="H10" s="143">
        <v>73200</v>
      </c>
      <c r="I10" s="143">
        <v>80520</v>
      </c>
      <c r="J10" s="144">
        <v>87840</v>
      </c>
    </row>
    <row r="11" spans="1:13" x14ac:dyDescent="0.2">
      <c r="B11" s="137" t="s">
        <v>177</v>
      </c>
      <c r="C11" s="138" t="s">
        <v>178</v>
      </c>
      <c r="D11" s="145"/>
      <c r="E11" s="146"/>
      <c r="F11" s="146"/>
      <c r="G11" s="146"/>
      <c r="H11" s="146"/>
      <c r="I11" s="146"/>
      <c r="J11" s="147"/>
    </row>
    <row r="12" spans="1:13" x14ac:dyDescent="0.2">
      <c r="B12" s="137" t="s">
        <v>179</v>
      </c>
      <c r="C12" s="138" t="s">
        <v>180</v>
      </c>
      <c r="D12" s="148"/>
      <c r="E12" s="149"/>
      <c r="F12" s="149"/>
      <c r="G12" s="149"/>
      <c r="H12" s="150"/>
      <c r="I12" s="149"/>
      <c r="J12" s="151"/>
    </row>
    <row r="13" spans="1:13" ht="13.5" thickBot="1" x14ac:dyDescent="0.25">
      <c r="B13" s="152" t="s">
        <v>181</v>
      </c>
      <c r="C13" s="153" t="s">
        <v>182</v>
      </c>
      <c r="D13" s="154"/>
      <c r="E13" s="155"/>
      <c r="F13" s="155"/>
      <c r="G13" s="155"/>
      <c r="H13" s="155"/>
      <c r="I13" s="155"/>
      <c r="J13" s="156"/>
    </row>
    <row r="15" spans="1:13" ht="15" x14ac:dyDescent="0.2">
      <c r="A15" s="159" t="s">
        <v>187</v>
      </c>
    </row>
    <row r="16" spans="1:13" ht="15" x14ac:dyDescent="0.2">
      <c r="A16" s="160" t="s">
        <v>188</v>
      </c>
    </row>
    <row r="21" spans="5:5" x14ac:dyDescent="0.2">
      <c r="E21" s="162"/>
    </row>
  </sheetData>
  <sheetProtection selectLockedCells="1" selectUnlockedCells="1"/>
  <phoneticPr fontId="2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E8"/>
  <sheetViews>
    <sheetView workbookViewId="0">
      <selection activeCell="A4" sqref="A4"/>
    </sheetView>
  </sheetViews>
  <sheetFormatPr defaultRowHeight="12.75" x14ac:dyDescent="0.2"/>
  <sheetData>
    <row r="1" spans="1:5" x14ac:dyDescent="0.2">
      <c r="A1" s="162" t="s">
        <v>210</v>
      </c>
    </row>
    <row r="2" spans="1:5" x14ac:dyDescent="0.2">
      <c r="A2" s="176" t="s">
        <v>211</v>
      </c>
    </row>
    <row r="3" spans="1:5" x14ac:dyDescent="0.2">
      <c r="A3" s="176"/>
    </row>
    <row r="4" spans="1:5" x14ac:dyDescent="0.2">
      <c r="A4" s="177" t="s">
        <v>214</v>
      </c>
    </row>
    <row r="5" spans="1:5" x14ac:dyDescent="0.2">
      <c r="A5" s="179" t="s">
        <v>213</v>
      </c>
      <c r="B5" s="35"/>
      <c r="C5" s="35"/>
      <c r="D5" s="35"/>
      <c r="E5" s="35"/>
    </row>
    <row r="6" spans="1:5" x14ac:dyDescent="0.2">
      <c r="A6" s="179"/>
      <c r="B6" s="35"/>
      <c r="C6" s="35"/>
      <c r="D6" s="35"/>
      <c r="E6" s="35"/>
    </row>
    <row r="8" spans="1:5" x14ac:dyDescent="0.2">
      <c r="A8" s="178" t="s">
        <v>212</v>
      </c>
    </row>
  </sheetData>
  <phoneticPr fontId="2" type="noConversion"/>
  <hyperlinks>
    <hyperlink ref="A8" r:id="rId1" display="http://creativecommons.org/licenses/by/4.0/"/>
    <hyperlink ref="A5" r:id="rId2" display="http://dx.doi.org/10.7557/8.3514"/>
  </hyperlinks>
  <pageMargins left="0.75" right="0.75" top="1" bottom="1" header="0.5" footer="0.5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"/>
  <sheetViews>
    <sheetView workbookViewId="0">
      <selection activeCell="A2" sqref="A2"/>
    </sheetView>
  </sheetViews>
  <sheetFormatPr defaultRowHeight="12.75" x14ac:dyDescent="0.2"/>
  <sheetData/>
  <phoneticPr fontId="2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BB212"/>
  <sheetViews>
    <sheetView workbookViewId="0">
      <selection activeCell="I8" sqref="I8"/>
    </sheetView>
  </sheetViews>
  <sheetFormatPr defaultRowHeight="12.75" x14ac:dyDescent="0.2"/>
  <cols>
    <col min="2" max="2" width="11" customWidth="1"/>
    <col min="3" max="3" width="11.28515625" customWidth="1"/>
    <col min="4" max="4" width="11.5703125" bestFit="1" customWidth="1"/>
    <col min="5" max="5" width="10.7109375" bestFit="1" customWidth="1"/>
    <col min="6" max="7" width="9.7109375" bestFit="1" customWidth="1"/>
    <col min="11" max="11" width="10" customWidth="1"/>
    <col min="20" max="20" width="10" bestFit="1" customWidth="1"/>
    <col min="21" max="21" width="10.5703125" bestFit="1" customWidth="1"/>
    <col min="22" max="22" width="9.5703125" bestFit="1" customWidth="1"/>
    <col min="23" max="24" width="9.28515625" bestFit="1" customWidth="1"/>
    <col min="44" max="44" width="11" bestFit="1" customWidth="1"/>
    <col min="45" max="49" width="10.5703125" customWidth="1"/>
  </cols>
  <sheetData>
    <row r="1" spans="1:54" x14ac:dyDescent="0.2">
      <c r="A1" s="11" t="s">
        <v>78</v>
      </c>
      <c r="G1" s="103" t="s">
        <v>101</v>
      </c>
      <c r="H1" s="103"/>
      <c r="AP1" t="s">
        <v>67</v>
      </c>
    </row>
    <row r="2" spans="1:54" ht="13.5" thickBot="1" x14ac:dyDescent="0.25">
      <c r="A2" t="s">
        <v>11</v>
      </c>
      <c r="B2" s="4">
        <f t="shared" ref="B2:U2" si="0">t0-(1/K)*LN(1-B3/Lmax)</f>
        <v>0.11693707031686684</v>
      </c>
      <c r="C2" s="4">
        <f t="shared" si="0"/>
        <v>0.24254380278080223</v>
      </c>
      <c r="D2" s="4">
        <f t="shared" si="0"/>
        <v>0.37820940900713512</v>
      </c>
      <c r="E2" s="4">
        <f t="shared" si="0"/>
        <v>0.52568631915904995</v>
      </c>
      <c r="F2" s="4">
        <f t="shared" si="0"/>
        <v>0.6872289967934988</v>
      </c>
      <c r="G2" s="4">
        <f t="shared" si="0"/>
        <v>0.86580614197625549</v>
      </c>
      <c r="H2" s="21">
        <f t="shared" si="0"/>
        <v>1.0654384058006343</v>
      </c>
      <c r="I2" s="21">
        <f t="shared" si="0"/>
        <v>1.2917628000794861</v>
      </c>
      <c r="J2" s="21">
        <f t="shared" si="0"/>
        <v>1.5530351387697543</v>
      </c>
      <c r="K2" s="21">
        <f t="shared" si="0"/>
        <v>1.862054726556118</v>
      </c>
      <c r="L2" s="4">
        <f t="shared" si="0"/>
        <v>2.2402641355632533</v>
      </c>
      <c r="M2" s="4">
        <f t="shared" si="0"/>
        <v>2.7278608685323738</v>
      </c>
      <c r="N2" s="21">
        <f t="shared" si="0"/>
        <v>3.4150898653258732</v>
      </c>
      <c r="O2" s="4">
        <f t="shared" si="0"/>
        <v>4.5899155950884927</v>
      </c>
      <c r="P2" s="4" t="e">
        <f t="shared" si="0"/>
        <v>#NUM!</v>
      </c>
      <c r="Q2" s="4" t="e">
        <f t="shared" si="0"/>
        <v>#NUM!</v>
      </c>
      <c r="R2" s="4" t="e">
        <f t="shared" si="0"/>
        <v>#NUM!</v>
      </c>
      <c r="S2" s="4" t="e">
        <f t="shared" si="0"/>
        <v>#NUM!</v>
      </c>
      <c r="T2" s="4" t="e">
        <f t="shared" si="0"/>
        <v>#NUM!</v>
      </c>
      <c r="U2" s="4" t="e">
        <f t="shared" si="0"/>
        <v>#NUM!</v>
      </c>
      <c r="AP2" t="s">
        <v>68</v>
      </c>
    </row>
    <row r="3" spans="1:54" ht="13.5" thickBot="1" x14ac:dyDescent="0.25">
      <c r="A3" s="6" t="s">
        <v>7</v>
      </c>
      <c r="B3" s="6">
        <v>2</v>
      </c>
      <c r="C3" s="6">
        <v>4</v>
      </c>
      <c r="D3" s="6">
        <v>6</v>
      </c>
      <c r="E3" s="6">
        <v>8</v>
      </c>
      <c r="F3" s="6">
        <v>10</v>
      </c>
      <c r="G3" s="6">
        <v>12</v>
      </c>
      <c r="H3" s="6">
        <v>14</v>
      </c>
      <c r="I3" s="6">
        <v>16</v>
      </c>
      <c r="J3" s="135">
        <v>18</v>
      </c>
      <c r="K3" s="6">
        <v>20</v>
      </c>
      <c r="L3" s="6">
        <v>22</v>
      </c>
      <c r="M3" s="6">
        <v>24</v>
      </c>
      <c r="N3" s="6">
        <v>26</v>
      </c>
      <c r="O3" s="6">
        <v>28</v>
      </c>
      <c r="P3" s="6">
        <v>30</v>
      </c>
      <c r="Q3" s="6">
        <v>32</v>
      </c>
      <c r="R3" s="6">
        <v>34</v>
      </c>
      <c r="S3" s="6">
        <v>36</v>
      </c>
      <c r="T3" s="6">
        <v>38</v>
      </c>
      <c r="U3" s="6">
        <v>40</v>
      </c>
      <c r="AP3" s="43">
        <v>2010</v>
      </c>
      <c r="AQ3" s="44"/>
      <c r="AR3" s="44"/>
      <c r="AS3" s="44"/>
      <c r="AT3" s="44"/>
      <c r="AU3" s="45" t="s">
        <v>73</v>
      </c>
      <c r="AW3" s="43">
        <v>2033</v>
      </c>
      <c r="AX3" s="44"/>
      <c r="AY3" s="44"/>
      <c r="AZ3" s="44"/>
      <c r="BA3" s="44"/>
      <c r="BB3" s="45" t="s">
        <v>73</v>
      </c>
    </row>
    <row r="4" spans="1:54" x14ac:dyDescent="0.2">
      <c r="A4" t="s">
        <v>6</v>
      </c>
      <c r="B4" s="5">
        <f>Interface!C27</f>
        <v>0</v>
      </c>
      <c r="C4" s="5">
        <f>Interface!D27</f>
        <v>0</v>
      </c>
      <c r="D4" s="5">
        <f>Interface!E27</f>
        <v>0</v>
      </c>
      <c r="E4" s="5">
        <f>Interface!F27</f>
        <v>0</v>
      </c>
      <c r="F4" s="5">
        <f>Interface!G27</f>
        <v>0</v>
      </c>
      <c r="G4" s="5">
        <f>Interface!H27</f>
        <v>0</v>
      </c>
      <c r="H4" s="5">
        <f>Interface!I27</f>
        <v>0</v>
      </c>
      <c r="I4" s="5">
        <f>Interface!J27</f>
        <v>0</v>
      </c>
      <c r="J4" s="5">
        <f>Interface!K27</f>
        <v>0</v>
      </c>
      <c r="K4" s="5">
        <f>Interface!L27</f>
        <v>0</v>
      </c>
      <c r="L4" s="5">
        <f>Interface!M27</f>
        <v>0</v>
      </c>
      <c r="M4" s="5">
        <f>Interface!N27</f>
        <v>0</v>
      </c>
      <c r="N4" s="5">
        <f>Interface!O27</f>
        <v>0</v>
      </c>
      <c r="O4" s="5">
        <f>Interface!P27</f>
        <v>0</v>
      </c>
      <c r="P4" s="5">
        <f>Interface!Q27</f>
        <v>0</v>
      </c>
      <c r="Q4" s="5">
        <f>Interface!R27</f>
        <v>0</v>
      </c>
      <c r="R4" s="5">
        <f>Interface!S27</f>
        <v>0</v>
      </c>
      <c r="S4" s="5">
        <f>Interface!T27</f>
        <v>0</v>
      </c>
      <c r="T4" s="5">
        <f>Interface!U27</f>
        <v>0</v>
      </c>
      <c r="U4" s="5">
        <f>Interface!V27</f>
        <v>0</v>
      </c>
      <c r="AP4" s="46" t="s">
        <v>17</v>
      </c>
      <c r="AQ4" s="47" t="s">
        <v>69</v>
      </c>
      <c r="AR4" s="47" t="s">
        <v>70</v>
      </c>
      <c r="AS4" s="38" t="s">
        <v>71</v>
      </c>
      <c r="AT4" s="39" t="s">
        <v>72</v>
      </c>
      <c r="AU4" s="48">
        <v>0.1</v>
      </c>
      <c r="AW4" s="46" t="s">
        <v>17</v>
      </c>
      <c r="AX4" s="47" t="s">
        <v>69</v>
      </c>
      <c r="AY4" s="47" t="s">
        <v>70</v>
      </c>
      <c r="AZ4" s="38" t="s">
        <v>71</v>
      </c>
      <c r="BA4" s="39" t="s">
        <v>72</v>
      </c>
      <c r="BB4" s="48">
        <v>0.1</v>
      </c>
    </row>
    <row r="5" spans="1:54" x14ac:dyDescent="0.2">
      <c r="AP5" s="49">
        <v>0.5</v>
      </c>
      <c r="AQ5" s="50">
        <f>T38</f>
        <v>7535294.2623439571</v>
      </c>
      <c r="AR5" s="47">
        <f>ROUND(100*AQ5/SUM($AQ$5:$AQ$9),0)</f>
        <v>22</v>
      </c>
      <c r="AS5" s="40">
        <v>1</v>
      </c>
      <c r="AT5" s="41">
        <f>Lmax*(1-EXP(-K*(AP5-t0)))</f>
        <v>7.6640523760227177</v>
      </c>
      <c r="AU5" s="51">
        <f>AT5*$AU$4</f>
        <v>0.76640523760227186</v>
      </c>
      <c r="AW5" s="49">
        <v>0.5</v>
      </c>
      <c r="AX5" s="50">
        <f>T61</f>
        <v>0</v>
      </c>
      <c r="AY5" s="47" t="e">
        <f>ROUND(100*AX5/SUM($AX$5:$AX$9),0)</f>
        <v>#DIV/0!</v>
      </c>
      <c r="AZ5" s="40">
        <v>1</v>
      </c>
      <c r="BA5" s="41">
        <f>Lmax*(1-EXP(-K*(AW5-t0)))</f>
        <v>7.6640523760227177</v>
      </c>
      <c r="BB5" s="51">
        <f>BA5*$AU$4</f>
        <v>0.76640523760227186</v>
      </c>
    </row>
    <row r="6" spans="1:54" x14ac:dyDescent="0.2">
      <c r="A6" s="7" t="s">
        <v>18</v>
      </c>
      <c r="B6" s="7"/>
      <c r="AP6" s="49">
        <v>1.5</v>
      </c>
      <c r="AQ6" s="50">
        <f>U38</f>
        <v>25203634.845668271</v>
      </c>
      <c r="AR6" s="47">
        <f>ROUND(100*AQ6/SUM($AQ$5:$AQ$9),0)</f>
        <v>72</v>
      </c>
      <c r="AS6" s="40">
        <f>AR5</f>
        <v>22</v>
      </c>
      <c r="AT6" s="41">
        <f>Lmax*(1-EXP(-K*(AP6-t0)))</f>
        <v>17.618574801628512</v>
      </c>
      <c r="AU6" s="51">
        <f>AT6*$AU$4</f>
        <v>1.7618574801628513</v>
      </c>
      <c r="AW6" s="49">
        <v>1.5</v>
      </c>
      <c r="AX6" s="50">
        <f>U61</f>
        <v>0</v>
      </c>
      <c r="AY6" s="47" t="e">
        <f>ROUND(100*AX6/SUM($AX$5:$AX$9),0)</f>
        <v>#DIV/0!</v>
      </c>
      <c r="AZ6" s="40" t="e">
        <f>AY5</f>
        <v>#DIV/0!</v>
      </c>
      <c r="BA6" s="41">
        <f>Lmax*(1-EXP(-K*(AW6-t0)))</f>
        <v>17.618574801628512</v>
      </c>
      <c r="BB6" s="51">
        <f>BA6*$AU$4</f>
        <v>1.7618574801628513</v>
      </c>
    </row>
    <row r="7" spans="1:54" x14ac:dyDescent="0.2">
      <c r="A7" s="6" t="s">
        <v>8</v>
      </c>
      <c r="B7" s="6">
        <v>30</v>
      </c>
      <c r="C7" t="s">
        <v>26</v>
      </c>
      <c r="K7" s="6" t="s">
        <v>34</v>
      </c>
      <c r="L7" s="5">
        <f>Interface!D18</f>
        <v>0</v>
      </c>
      <c r="M7">
        <v>244</v>
      </c>
      <c r="AP7" s="49">
        <v>2.5</v>
      </c>
      <c r="AQ7" s="50">
        <f>V38</f>
        <v>1927459.6467302332</v>
      </c>
      <c r="AR7" s="47">
        <f>ROUND(100*AQ7/SUM($AQ$5:$AQ$9),0)</f>
        <v>6</v>
      </c>
      <c r="AS7" s="40">
        <f>AR6+AS6</f>
        <v>94</v>
      </c>
      <c r="AT7" s="41">
        <f>Lmax*(1-EXP(-K*(AP7-t0)))</f>
        <v>23.136638188643325</v>
      </c>
      <c r="AU7" s="51">
        <f>AT7*$AU$4</f>
        <v>2.3136638188643324</v>
      </c>
      <c r="AW7" s="49">
        <v>2.5</v>
      </c>
      <c r="AX7" s="50">
        <f>V61</f>
        <v>0</v>
      </c>
      <c r="AY7" s="47" t="e">
        <f>ROUND(100*AX7/SUM($AX$5:$AX$9),0)</f>
        <v>#DIV/0!</v>
      </c>
      <c r="AZ7" s="40" t="e">
        <f>AY6+AZ6</f>
        <v>#DIV/0!</v>
      </c>
      <c r="BA7" s="41">
        <f>Lmax*(1-EXP(-K*(AW7-t0)))</f>
        <v>23.136638188643325</v>
      </c>
      <c r="BB7" s="51">
        <f>BA7*$AU$4</f>
        <v>2.3136638188643324</v>
      </c>
    </row>
    <row r="8" spans="1:54" x14ac:dyDescent="0.2">
      <c r="A8" s="6" t="s">
        <v>9</v>
      </c>
      <c r="B8" s="6">
        <v>0.59</v>
      </c>
      <c r="K8" s="6" t="s">
        <v>37</v>
      </c>
      <c r="L8" s="5">
        <f>Interface!D19</f>
        <v>0</v>
      </c>
      <c r="M8">
        <v>300</v>
      </c>
      <c r="AP8" s="49">
        <v>3.5</v>
      </c>
      <c r="AQ8" s="50">
        <f>W38</f>
        <v>144168.62598848637</v>
      </c>
      <c r="AR8" s="47">
        <f>ROUND(100*AQ8/SUM($AQ$5:$AQ$9),0)</f>
        <v>0</v>
      </c>
      <c r="AS8" s="40">
        <f>AR7+AS7</f>
        <v>100</v>
      </c>
      <c r="AT8" s="41">
        <f>Lmax*(1-EXP(-K*(AP8-t0)))</f>
        <v>26.195451282960146</v>
      </c>
      <c r="AU8" s="51">
        <f>AT8*$AU$4</f>
        <v>2.6195451282960147</v>
      </c>
      <c r="AW8" s="49">
        <v>3.5</v>
      </c>
      <c r="AX8" s="50">
        <f>W61</f>
        <v>0</v>
      </c>
      <c r="AY8" s="47" t="e">
        <f>ROUND(100*AX8/SUM($AX$5:$AX$9),0)</f>
        <v>#DIV/0!</v>
      </c>
      <c r="AZ8" s="40" t="e">
        <f>AY7+AZ7</f>
        <v>#DIV/0!</v>
      </c>
      <c r="BA8" s="41">
        <f>Lmax*(1-EXP(-K*(AW8-t0)))</f>
        <v>26.195451282960146</v>
      </c>
      <c r="BB8" s="51">
        <f>BA8*$AU$4</f>
        <v>2.6195451282960147</v>
      </c>
    </row>
    <row r="9" spans="1:54" ht="13.5" thickBot="1" x14ac:dyDescent="0.25">
      <c r="A9" s="6" t="s">
        <v>10</v>
      </c>
      <c r="B9" s="6">
        <v>0</v>
      </c>
      <c r="K9" s="6" t="s">
        <v>38</v>
      </c>
      <c r="L9" s="6">
        <f>L7*L8*q</f>
        <v>0</v>
      </c>
      <c r="AP9" s="52">
        <v>4.5</v>
      </c>
      <c r="AQ9" s="53">
        <f>X38</f>
        <v>0</v>
      </c>
      <c r="AR9" s="54">
        <f>ROUND(100*AQ9/SUM($AQ$5:$AQ$9),0)</f>
        <v>0</v>
      </c>
      <c r="AS9" s="55">
        <f>AR8+AS8</f>
        <v>100</v>
      </c>
      <c r="AT9" s="56">
        <f>Lmax*(1-EXP(-K*(AP9-t0)))</f>
        <v>27.891034840043147</v>
      </c>
      <c r="AU9" s="57">
        <f>AT9*$AU$4</f>
        <v>2.7891034840043147</v>
      </c>
      <c r="AW9" s="52">
        <v>4.5</v>
      </c>
      <c r="AX9" s="53">
        <f>X61</f>
        <v>0</v>
      </c>
      <c r="AY9" s="54" t="e">
        <f>ROUND(100*AX9/SUM($AX$5:$AX$9),0)</f>
        <v>#DIV/0!</v>
      </c>
      <c r="AZ9" s="55" t="e">
        <f>AY8+AZ8</f>
        <v>#DIV/0!</v>
      </c>
      <c r="BA9" s="56">
        <f>Lmax*(1-EXP(-K*(AW9-t0)))</f>
        <v>27.891034840043147</v>
      </c>
      <c r="BB9" s="57">
        <f>BA9*$AU$4</f>
        <v>2.7891034840043147</v>
      </c>
    </row>
    <row r="10" spans="1:54" ht="13.5" thickBot="1" x14ac:dyDescent="0.25">
      <c r="A10" s="7" t="s">
        <v>22</v>
      </c>
      <c r="B10" s="7"/>
    </row>
    <row r="11" spans="1:54" x14ac:dyDescent="0.2">
      <c r="A11" s="6" t="s">
        <v>19</v>
      </c>
      <c r="B11" s="6">
        <v>8.9999999999999993E-3</v>
      </c>
      <c r="C11" t="s">
        <v>25</v>
      </c>
      <c r="AP11" s="43">
        <v>2011</v>
      </c>
      <c r="AQ11" s="44"/>
      <c r="AR11" s="44"/>
      <c r="AS11" s="44"/>
      <c r="AT11" s="44"/>
      <c r="AU11" s="45" t="s">
        <v>73</v>
      </c>
    </row>
    <row r="12" spans="1:54" x14ac:dyDescent="0.2">
      <c r="A12" s="6" t="s">
        <v>20</v>
      </c>
      <c r="B12" s="6">
        <v>3</v>
      </c>
      <c r="K12" s="6" t="s">
        <v>44</v>
      </c>
      <c r="L12" s="3">
        <f>AG61</f>
        <v>0</v>
      </c>
      <c r="N12" s="3">
        <v>2477.023481842979</v>
      </c>
      <c r="AP12" s="46" t="s">
        <v>17</v>
      </c>
      <c r="AQ12" s="47" t="s">
        <v>69</v>
      </c>
      <c r="AR12" s="47" t="s">
        <v>70</v>
      </c>
      <c r="AS12" s="38" t="s">
        <v>71</v>
      </c>
      <c r="AT12" s="39" t="s">
        <v>72</v>
      </c>
      <c r="AU12" s="48">
        <v>0.1</v>
      </c>
    </row>
    <row r="13" spans="1:54" x14ac:dyDescent="0.2">
      <c r="A13" s="7" t="s">
        <v>21</v>
      </c>
      <c r="B13" s="7"/>
      <c r="K13" s="6" t="s">
        <v>30</v>
      </c>
      <c r="L13" s="3">
        <f>P61</f>
        <v>4751.5974089688343</v>
      </c>
      <c r="N13" s="3">
        <v>545.1001351646936</v>
      </c>
      <c r="AP13" s="49">
        <v>0.5</v>
      </c>
      <c r="AQ13" s="50">
        <f>T39</f>
        <v>0</v>
      </c>
      <c r="AR13" s="47" t="e">
        <f>ROUND(100*AQ13/SUM($AQ$13:$AQ$17),0)</f>
        <v>#DIV/0!</v>
      </c>
      <c r="AS13" s="40">
        <v>1</v>
      </c>
      <c r="AT13" s="41">
        <f>Lmax*(1-EXP(-K*(AP13-t0)))</f>
        <v>7.6640523760227177</v>
      </c>
      <c r="AU13" s="51">
        <f>AT13*$AU$4</f>
        <v>0.76640523760227186</v>
      </c>
    </row>
    <row r="14" spans="1:54" x14ac:dyDescent="0.2">
      <c r="A14" s="6" t="s">
        <v>23</v>
      </c>
      <c r="B14" s="12">
        <v>3.0000000000000001E-6</v>
      </c>
      <c r="C14" t="s">
        <v>27</v>
      </c>
      <c r="K14" s="6" t="s">
        <v>45</v>
      </c>
      <c r="L14" s="3">
        <f>SUM(L61:O61)</f>
        <v>7497.1987442375748</v>
      </c>
      <c r="N14" s="3">
        <v>1137.4956343834931</v>
      </c>
      <c r="AP14" s="49">
        <v>1.5</v>
      </c>
      <c r="AQ14" s="50">
        <f>U39</f>
        <v>0</v>
      </c>
      <c r="AR14" s="47" t="e">
        <f>ROUND(100*AQ14/SUM($AQ$13:$AQ$17),0)</f>
        <v>#DIV/0!</v>
      </c>
      <c r="AS14" s="40" t="e">
        <f>AR13</f>
        <v>#DIV/0!</v>
      </c>
      <c r="AT14" s="41">
        <f>Lmax*(1-EXP(-K*(AP14-t0)))</f>
        <v>17.618574801628512</v>
      </c>
      <c r="AU14" s="51">
        <f>AT14*$AU$4</f>
        <v>1.7618574801628513</v>
      </c>
    </row>
    <row r="15" spans="1:54" x14ac:dyDescent="0.2">
      <c r="A15" s="6" t="s">
        <v>24</v>
      </c>
      <c r="B15" s="6">
        <v>1.7296035331190156E-8</v>
      </c>
      <c r="L15" s="18"/>
      <c r="AP15" s="49">
        <v>2.5</v>
      </c>
      <c r="AQ15" s="50">
        <f>V39</f>
        <v>0</v>
      </c>
      <c r="AR15" s="47" t="e">
        <f>ROUND(100*AQ15/SUM($AQ$13:$AQ$17),0)</f>
        <v>#DIV/0!</v>
      </c>
      <c r="AS15" s="40" t="e">
        <f>AR14+AS14</f>
        <v>#DIV/0!</v>
      </c>
      <c r="AT15" s="41">
        <f>Lmax*(1-EXP(-K*(AP15-t0)))</f>
        <v>23.136638188643325</v>
      </c>
      <c r="AU15" s="51">
        <f>AT15*$AU$4</f>
        <v>2.3136638188643324</v>
      </c>
    </row>
    <row r="16" spans="1:54" x14ac:dyDescent="0.2">
      <c r="A16" s="7" t="s">
        <v>31</v>
      </c>
      <c r="B16" s="7"/>
      <c r="AP16" s="49">
        <v>3.5</v>
      </c>
      <c r="AQ16" s="50">
        <f>W39</f>
        <v>0</v>
      </c>
      <c r="AR16" s="47" t="e">
        <f>ROUND(100*AQ16/SUM($AQ$13:$AQ$17),0)</f>
        <v>#DIV/0!</v>
      </c>
      <c r="AS16" s="40" t="e">
        <f>AR15+AS15</f>
        <v>#DIV/0!</v>
      </c>
      <c r="AT16" s="41">
        <f>Lmax*(1-EXP(-K*(AP16-t0)))</f>
        <v>26.195451282960146</v>
      </c>
      <c r="AU16" s="51">
        <f>AT16*$AU$4</f>
        <v>2.6195451282960147</v>
      </c>
    </row>
    <row r="17" spans="1:47" ht="13.5" thickBot="1" x14ac:dyDescent="0.25">
      <c r="A17" s="6" t="s">
        <v>32</v>
      </c>
      <c r="B17" s="6">
        <v>0.9</v>
      </c>
      <c r="AP17" s="52">
        <v>4.5</v>
      </c>
      <c r="AQ17" s="53">
        <f>X39</f>
        <v>0</v>
      </c>
      <c r="AR17" s="54" t="e">
        <f>ROUND(100*AQ17/SUM($AQ$13:$AQ$17),0)</f>
        <v>#DIV/0!</v>
      </c>
      <c r="AS17" s="55" t="e">
        <f>AR16+AS16</f>
        <v>#DIV/0!</v>
      </c>
      <c r="AT17" s="56">
        <f>Lmax*(1-EXP(-K*(AP17-t0)))</f>
        <v>27.891034840043147</v>
      </c>
      <c r="AU17" s="57">
        <f>AT17*$AU$4</f>
        <v>2.7891034840043147</v>
      </c>
    </row>
    <row r="18" spans="1:47" ht="13.5" thickBot="1" x14ac:dyDescent="0.25">
      <c r="A18" s="6" t="s">
        <v>35</v>
      </c>
      <c r="B18" s="12">
        <f>2/(244*300)</f>
        <v>2.7322404371584699E-5</v>
      </c>
      <c r="C18" t="s">
        <v>36</v>
      </c>
    </row>
    <row r="19" spans="1:47" x14ac:dyDescent="0.2">
      <c r="A19" s="7" t="s">
        <v>56</v>
      </c>
      <c r="B19" s="7"/>
      <c r="AJ19" t="s">
        <v>54</v>
      </c>
      <c r="AL19" t="s">
        <v>62</v>
      </c>
      <c r="AM19" t="s">
        <v>56</v>
      </c>
      <c r="AN19" t="s">
        <v>64</v>
      </c>
      <c r="AP19" s="43">
        <v>2012</v>
      </c>
      <c r="AQ19" s="44"/>
      <c r="AR19" s="44"/>
      <c r="AS19" s="44"/>
      <c r="AT19" s="44"/>
      <c r="AU19" s="45" t="s">
        <v>73</v>
      </c>
    </row>
    <row r="20" spans="1:47" x14ac:dyDescent="0.2">
      <c r="A20" s="6" t="s">
        <v>57</v>
      </c>
      <c r="B20" s="6">
        <v>8.1999999999999993</v>
      </c>
      <c r="C20" s="35" t="s">
        <v>60</v>
      </c>
      <c r="AJ20" t="s">
        <v>59</v>
      </c>
      <c r="AL20" s="36" t="s">
        <v>63</v>
      </c>
      <c r="AP20" s="46" t="s">
        <v>17</v>
      </c>
      <c r="AQ20" s="47" t="s">
        <v>69</v>
      </c>
      <c r="AR20" s="47" t="s">
        <v>70</v>
      </c>
      <c r="AS20" s="38" t="s">
        <v>71</v>
      </c>
      <c r="AT20" s="39" t="s">
        <v>72</v>
      </c>
      <c r="AU20" s="48">
        <v>0.1</v>
      </c>
    </row>
    <row r="21" spans="1:47" x14ac:dyDescent="0.2">
      <c r="A21" s="6" t="s">
        <v>58</v>
      </c>
      <c r="B21" s="6">
        <v>0.5</v>
      </c>
      <c r="C21" s="35" t="s">
        <v>61</v>
      </c>
      <c r="AJ21">
        <v>15</v>
      </c>
      <c r="AL21" s="2">
        <f>pricekga+AJ21*pricekgb</f>
        <v>15.7</v>
      </c>
      <c r="AP21" s="49">
        <v>0.5</v>
      </c>
      <c r="AQ21" s="50">
        <f>T40</f>
        <v>0</v>
      </c>
      <c r="AR21" s="47" t="e">
        <f>ROUND(100*AQ21/SUM($AQ$21:$AQ$25),0)</f>
        <v>#DIV/0!</v>
      </c>
      <c r="AS21" s="40">
        <v>1</v>
      </c>
      <c r="AT21" s="41">
        <f>Lmax*(1-EXP(-K*(AP21-t0)))</f>
        <v>7.6640523760227177</v>
      </c>
      <c r="AU21" s="51">
        <f>AT21*$AU$4</f>
        <v>0.76640523760227186</v>
      </c>
    </row>
    <row r="22" spans="1:47" x14ac:dyDescent="0.2">
      <c r="A22" s="6"/>
      <c r="B22" s="6"/>
      <c r="C22" s="35"/>
      <c r="AJ22">
        <v>18</v>
      </c>
      <c r="AL22" s="2">
        <f>pricekga+AJ22*pricekgb</f>
        <v>17.2</v>
      </c>
      <c r="AP22" s="49">
        <v>1.5</v>
      </c>
      <c r="AQ22" s="50">
        <f>U40</f>
        <v>0</v>
      </c>
      <c r="AR22" s="47" t="e">
        <f>ROUND(100*AQ22/SUM($AQ$21:$AQ$25),0)</f>
        <v>#DIV/0!</v>
      </c>
      <c r="AS22" s="40" t="e">
        <f>AR21</f>
        <v>#DIV/0!</v>
      </c>
      <c r="AT22" s="41">
        <f>Lmax*(1-EXP(-K*(AP22-t0)))</f>
        <v>17.618574801628512</v>
      </c>
      <c r="AU22" s="51">
        <f>AT22*$AU$4</f>
        <v>1.7618574801628513</v>
      </c>
    </row>
    <row r="23" spans="1:47" x14ac:dyDescent="0.2">
      <c r="AJ23">
        <v>20</v>
      </c>
      <c r="AL23" s="2">
        <f>pricekga+AJ23*pricekgb</f>
        <v>18.2</v>
      </c>
      <c r="AP23" s="49">
        <v>2.5</v>
      </c>
      <c r="AQ23" s="50">
        <f>V40</f>
        <v>0</v>
      </c>
      <c r="AR23" s="47" t="e">
        <f>ROUND(100*AQ23/SUM($AQ$21:$AQ$25),0)</f>
        <v>#DIV/0!</v>
      </c>
      <c r="AS23" s="40" t="e">
        <f>AR22+AS22</f>
        <v>#DIV/0!</v>
      </c>
      <c r="AT23" s="41">
        <f>Lmax*(1-EXP(-K*(AP23-t0)))</f>
        <v>23.136638188643325</v>
      </c>
      <c r="AU23" s="51">
        <f>AT23*$AU$4</f>
        <v>2.3136638188643324</v>
      </c>
    </row>
    <row r="24" spans="1:47" x14ac:dyDescent="0.2">
      <c r="AJ24">
        <v>22</v>
      </c>
      <c r="AL24" s="2">
        <f>pricekga+AJ24*pricekgb</f>
        <v>19.2</v>
      </c>
      <c r="AP24" s="49">
        <v>3.5</v>
      </c>
      <c r="AQ24" s="50">
        <f>W40</f>
        <v>0</v>
      </c>
      <c r="AR24" s="47" t="e">
        <f>ROUND(100*AQ24/SUM($AQ$21:$AQ$25),0)</f>
        <v>#DIV/0!</v>
      </c>
      <c r="AS24" s="40" t="e">
        <f>AR23+AS23</f>
        <v>#DIV/0!</v>
      </c>
      <c r="AT24" s="41">
        <f>Lmax*(1-EXP(-K*(AP24-t0)))</f>
        <v>26.195451282960146</v>
      </c>
      <c r="AU24" s="51">
        <f>AT24*$AU$4</f>
        <v>2.6195451282960147</v>
      </c>
    </row>
    <row r="25" spans="1:47" ht="13.5" thickBot="1" x14ac:dyDescent="0.25">
      <c r="AP25" s="52">
        <v>4.5</v>
      </c>
      <c r="AQ25" s="53">
        <f>X40</f>
        <v>0</v>
      </c>
      <c r="AR25" s="54" t="e">
        <f>ROUND(100*AQ25/SUM($AQ$21:$AQ$25),0)</f>
        <v>#DIV/0!</v>
      </c>
      <c r="AS25" s="55" t="e">
        <f>AR24+AS24</f>
        <v>#DIV/0!</v>
      </c>
      <c r="AT25" s="56">
        <f>Lmax*(1-EXP(-K*(AP25-t0)))</f>
        <v>27.891034840043147</v>
      </c>
      <c r="AU25" s="57">
        <f>AT25*$AU$4</f>
        <v>2.7891034840043147</v>
      </c>
    </row>
    <row r="26" spans="1:47" ht="13.5" thickBot="1" x14ac:dyDescent="0.25"/>
    <row r="27" spans="1:47" x14ac:dyDescent="0.2">
      <c r="AP27" s="43">
        <v>2013</v>
      </c>
      <c r="AQ27" s="44"/>
      <c r="AR27" s="44"/>
      <c r="AS27" s="44"/>
      <c r="AT27" s="44"/>
      <c r="AU27" s="45" t="s">
        <v>73</v>
      </c>
    </row>
    <row r="28" spans="1:47" x14ac:dyDescent="0.2">
      <c r="AP28" s="46" t="s">
        <v>17</v>
      </c>
      <c r="AQ28" s="47" t="s">
        <v>69</v>
      </c>
      <c r="AR28" s="47" t="s">
        <v>70</v>
      </c>
      <c r="AS28" s="38" t="s">
        <v>71</v>
      </c>
      <c r="AT28" s="39" t="s">
        <v>72</v>
      </c>
      <c r="AU28" s="48">
        <v>0.1</v>
      </c>
    </row>
    <row r="29" spans="1:47" x14ac:dyDescent="0.2">
      <c r="AP29" s="49">
        <v>0.5</v>
      </c>
      <c r="AQ29" s="50">
        <f>T41</f>
        <v>0</v>
      </c>
      <c r="AR29" s="47" t="e">
        <f>ROUND(100*AQ29/SUM($AQ$29:$AQ$33),0)</f>
        <v>#DIV/0!</v>
      </c>
      <c r="AS29" s="40">
        <v>1</v>
      </c>
      <c r="AT29" s="41">
        <f>Lmax*(1-EXP(-K*(AP29-t0)))</f>
        <v>7.6640523760227177</v>
      </c>
      <c r="AU29" s="51">
        <f>AT29*$AU$4</f>
        <v>0.76640523760227186</v>
      </c>
    </row>
    <row r="30" spans="1:47" x14ac:dyDescent="0.2">
      <c r="H30" s="1">
        <f t="shared" ref="H30:U30" si="1">t0-(1/K)*LN(1-H3/Lmax)</f>
        <v>1.0654384058006343</v>
      </c>
      <c r="I30" s="1">
        <f t="shared" si="1"/>
        <v>1.2917628000794861</v>
      </c>
      <c r="J30" s="1">
        <f t="shared" si="1"/>
        <v>1.5530351387697543</v>
      </c>
      <c r="K30" s="1">
        <f t="shared" si="1"/>
        <v>1.862054726556118</v>
      </c>
      <c r="L30" s="4">
        <f t="shared" si="1"/>
        <v>2.2402641355632533</v>
      </c>
      <c r="M30" s="4">
        <f t="shared" si="1"/>
        <v>2.7278608685323738</v>
      </c>
      <c r="N30" s="1">
        <f t="shared" si="1"/>
        <v>3.4150898653258732</v>
      </c>
      <c r="O30" s="4">
        <f t="shared" si="1"/>
        <v>4.5899155950884927</v>
      </c>
      <c r="P30" s="1" t="e">
        <f t="shared" si="1"/>
        <v>#NUM!</v>
      </c>
      <c r="Q30" s="1" t="e">
        <f t="shared" si="1"/>
        <v>#NUM!</v>
      </c>
      <c r="R30" s="1" t="e">
        <f t="shared" si="1"/>
        <v>#NUM!</v>
      </c>
      <c r="S30" s="1" t="e">
        <f t="shared" si="1"/>
        <v>#NUM!</v>
      </c>
      <c r="T30" s="1" t="e">
        <f t="shared" si="1"/>
        <v>#NUM!</v>
      </c>
      <c r="U30" s="1" t="e">
        <f t="shared" si="1"/>
        <v>#NUM!</v>
      </c>
      <c r="AB30" s="3"/>
      <c r="AP30" s="49">
        <v>1.5</v>
      </c>
      <c r="AQ30" s="50">
        <f>U41</f>
        <v>0</v>
      </c>
      <c r="AR30" s="47" t="e">
        <f>ROUND(100*AQ30/SUM($AQ$29:$AQ$33),0)</f>
        <v>#DIV/0!</v>
      </c>
      <c r="AS30" s="40" t="e">
        <f>AR29</f>
        <v>#DIV/0!</v>
      </c>
      <c r="AT30" s="41">
        <f>Lmax*(1-EXP(-K*(AP30-t0)))</f>
        <v>17.618574801628512</v>
      </c>
      <c r="AU30" s="51">
        <f>AT30*$AU$4</f>
        <v>1.7618574801628513</v>
      </c>
    </row>
    <row r="31" spans="1:47" x14ac:dyDescent="0.2">
      <c r="AJ31" t="str">
        <f>AB36</f>
        <v>age</v>
      </c>
      <c r="AP31" s="49">
        <v>2.5</v>
      </c>
      <c r="AQ31" s="50">
        <f>V41</f>
        <v>0</v>
      </c>
      <c r="AR31" s="47" t="e">
        <f>ROUND(100*AQ31/SUM($AQ$29:$AQ$33),0)</f>
        <v>#DIV/0!</v>
      </c>
      <c r="AS31" s="40" t="e">
        <f>AR30+AS30</f>
        <v>#DIV/0!</v>
      </c>
      <c r="AT31" s="41">
        <f>Lmax*(1-EXP(-K*(AP31-t0)))</f>
        <v>23.136638188643325</v>
      </c>
      <c r="AU31" s="51">
        <f>AT31*$AU$4</f>
        <v>2.3136638188643324</v>
      </c>
    </row>
    <row r="32" spans="1:47" x14ac:dyDescent="0.2">
      <c r="A32" t="s">
        <v>12</v>
      </c>
      <c r="C32" s="5">
        <v>0.5</v>
      </c>
      <c r="D32" s="5">
        <v>1.5</v>
      </c>
      <c r="E32" s="5">
        <v>2.5</v>
      </c>
      <c r="F32" s="5">
        <v>3.5</v>
      </c>
      <c r="G32" s="5">
        <v>4.5</v>
      </c>
      <c r="U32" s="3"/>
      <c r="V32" s="3"/>
      <c r="W32" s="3"/>
      <c r="X32" s="3"/>
      <c r="AJ32" s="5">
        <v>0.5</v>
      </c>
      <c r="AK32" s="5">
        <v>1.5</v>
      </c>
      <c r="AL32" s="5">
        <v>2.5</v>
      </c>
      <c r="AM32" s="5">
        <v>3.5</v>
      </c>
      <c r="AN32" s="5">
        <v>4.5</v>
      </c>
      <c r="AP32" s="49">
        <v>3.5</v>
      </c>
      <c r="AQ32" s="50">
        <f>W41</f>
        <v>0</v>
      </c>
      <c r="AR32" s="47" t="e">
        <f>ROUND(100*AQ32/SUM($AQ$29:$AQ$33),0)</f>
        <v>#DIV/0!</v>
      </c>
      <c r="AS32" s="40" t="e">
        <f>AR31+AS31</f>
        <v>#DIV/0!</v>
      </c>
      <c r="AT32" s="41">
        <f>Lmax*(1-EXP(-K*(AP32-t0)))</f>
        <v>26.195451282960146</v>
      </c>
      <c r="AU32" s="51">
        <f>AT32*$AU$4</f>
        <v>2.6195451282960147</v>
      </c>
    </row>
    <row r="33" spans="1:47" ht="13.5" thickBot="1" x14ac:dyDescent="0.25">
      <c r="A33" t="s">
        <v>13</v>
      </c>
      <c r="C33" s="2">
        <f>AVERAGE(B4:G4)</f>
        <v>0</v>
      </c>
      <c r="D33" s="2">
        <f>AVERAGE(H4:K4)</f>
        <v>0</v>
      </c>
      <c r="E33">
        <f>AVERAGE(L4:M4)</f>
        <v>0</v>
      </c>
      <c r="F33">
        <f>N4</f>
        <v>0</v>
      </c>
      <c r="G33">
        <f>O4</f>
        <v>0</v>
      </c>
      <c r="AI33" t="s">
        <v>53</v>
      </c>
      <c r="AJ33" s="2">
        <f>Lmax*(1-EXP(-K*(AJ32-t0)))</f>
        <v>7.6640523760227177</v>
      </c>
      <c r="AK33" s="2">
        <f>Lmax*(1-EXP(-K*(AK32-t0)))</f>
        <v>17.618574801628512</v>
      </c>
      <c r="AL33" s="2">
        <f>Lmax*(1-EXP(-K*(AL32-t0)))</f>
        <v>23.136638188643325</v>
      </c>
      <c r="AM33" s="2">
        <f>Lmax*(1-EXP(-K*(AM32-t0)))</f>
        <v>26.195451282960146</v>
      </c>
      <c r="AN33" s="2">
        <f>Lmax*(1-EXP(-K*(AN32-t0)))</f>
        <v>27.891034840043147</v>
      </c>
      <c r="AP33" s="52">
        <v>4.5</v>
      </c>
      <c r="AQ33" s="53">
        <f>X41</f>
        <v>0</v>
      </c>
      <c r="AR33" s="54" t="e">
        <f>ROUND(100*AQ33/SUM($AQ$29:$AQ$33),0)</f>
        <v>#DIV/0!</v>
      </c>
      <c r="AS33" s="55" t="e">
        <f>AR32+AS32</f>
        <v>#DIV/0!</v>
      </c>
      <c r="AT33" s="56">
        <f>Lmax*(1-EXP(-K*(AP33-t0)))</f>
        <v>27.891034840043147</v>
      </c>
      <c r="AU33" s="57">
        <f>AT33*$AU$4</f>
        <v>2.7891034840043147</v>
      </c>
    </row>
    <row r="34" spans="1:47" x14ac:dyDescent="0.2">
      <c r="A34" t="s">
        <v>41</v>
      </c>
      <c r="C34" s="13">
        <f>C33*F</f>
        <v>0</v>
      </c>
      <c r="D34" s="13">
        <f>D33*F</f>
        <v>0</v>
      </c>
      <c r="E34" s="13">
        <f>E33*F</f>
        <v>0</v>
      </c>
      <c r="F34" s="13">
        <f>F33*F</f>
        <v>0</v>
      </c>
      <c r="G34" s="13">
        <f>G33*F</f>
        <v>0</v>
      </c>
      <c r="R34" t="str">
        <f>A34</f>
        <v>Ft=F*age(t)-sel</v>
      </c>
      <c r="T34" s="13">
        <f>C34</f>
        <v>0</v>
      </c>
      <c r="U34" s="13">
        <f>D34</f>
        <v>0</v>
      </c>
      <c r="V34" s="13">
        <f>E34</f>
        <v>0</v>
      </c>
      <c r="W34" s="13">
        <f>F34</f>
        <v>0</v>
      </c>
      <c r="X34" s="13">
        <f>G34</f>
        <v>0</v>
      </c>
    </row>
    <row r="36" spans="1:47" x14ac:dyDescent="0.2">
      <c r="A36" t="s">
        <v>39</v>
      </c>
      <c r="C36" t="s">
        <v>17</v>
      </c>
      <c r="D36" t="s">
        <v>40</v>
      </c>
      <c r="K36" t="s">
        <v>17</v>
      </c>
      <c r="R36" t="s">
        <v>33</v>
      </c>
      <c r="T36" t="s">
        <v>17</v>
      </c>
      <c r="U36" t="s">
        <v>47</v>
      </c>
      <c r="AB36" t="s">
        <v>17</v>
      </c>
      <c r="AJ36" t="s">
        <v>54</v>
      </c>
      <c r="AL36" t="s">
        <v>62</v>
      </c>
      <c r="AM36" t="s">
        <v>56</v>
      </c>
      <c r="AN36" t="s">
        <v>64</v>
      </c>
      <c r="AQ36" t="s">
        <v>75</v>
      </c>
    </row>
    <row r="37" spans="1:47" ht="13.5" thickBot="1" x14ac:dyDescent="0.25">
      <c r="A37" t="s">
        <v>46</v>
      </c>
      <c r="B37" t="s">
        <v>15</v>
      </c>
      <c r="C37" s="5">
        <v>0.5</v>
      </c>
      <c r="D37" s="5">
        <v>1.5</v>
      </c>
      <c r="E37" s="5">
        <v>2.5</v>
      </c>
      <c r="F37" s="5">
        <v>3.5</v>
      </c>
      <c r="G37" s="5">
        <v>4.5</v>
      </c>
      <c r="I37" t="s">
        <v>14</v>
      </c>
      <c r="J37" t="s">
        <v>15</v>
      </c>
      <c r="K37" s="5">
        <v>0.5</v>
      </c>
      <c r="L37" s="5">
        <v>1.5</v>
      </c>
      <c r="M37" s="5">
        <v>2.5</v>
      </c>
      <c r="N37" s="5">
        <v>3.5</v>
      </c>
      <c r="O37" s="5">
        <v>4.5</v>
      </c>
      <c r="P37" s="8" t="s">
        <v>30</v>
      </c>
      <c r="R37" t="s">
        <v>14</v>
      </c>
      <c r="S37" t="s">
        <v>15</v>
      </c>
      <c r="T37" s="5">
        <v>0.5</v>
      </c>
      <c r="U37" s="5">
        <v>1.5</v>
      </c>
      <c r="V37" s="5">
        <v>2.5</v>
      </c>
      <c r="W37" s="5">
        <v>3.5</v>
      </c>
      <c r="X37" s="5">
        <v>4.5</v>
      </c>
      <c r="Z37" t="s">
        <v>14</v>
      </c>
      <c r="AA37" t="s">
        <v>15</v>
      </c>
      <c r="AB37" s="5">
        <v>0.5</v>
      </c>
      <c r="AC37" s="5">
        <v>1.5</v>
      </c>
      <c r="AD37" s="5">
        <v>2.5</v>
      </c>
      <c r="AE37" s="5">
        <v>3.5</v>
      </c>
      <c r="AF37" s="5">
        <v>4.5</v>
      </c>
      <c r="AG37" s="16" t="s">
        <v>43</v>
      </c>
      <c r="AH37" t="s">
        <v>52</v>
      </c>
      <c r="AJ37" s="33" t="s">
        <v>55</v>
      </c>
      <c r="AL37" s="36" t="s">
        <v>63</v>
      </c>
      <c r="AM37" s="37">
        <v>1000</v>
      </c>
      <c r="AN37" s="37">
        <v>1000</v>
      </c>
      <c r="AP37" s="11" t="s">
        <v>74</v>
      </c>
      <c r="AQ37" s="42">
        <v>2010</v>
      </c>
      <c r="AR37" s="11">
        <v>2011</v>
      </c>
      <c r="AS37" s="11">
        <v>2012</v>
      </c>
      <c r="AT37" s="11">
        <v>2013</v>
      </c>
      <c r="AU37" s="42">
        <v>2029</v>
      </c>
    </row>
    <row r="38" spans="1:47" ht="13.5" thickBot="1" x14ac:dyDescent="0.25">
      <c r="A38" t="s">
        <v>16</v>
      </c>
      <c r="B38">
        <v>2010</v>
      </c>
      <c r="C38" s="10">
        <f t="shared" ref="C38:C60" si="2">D39*EXP(4*M+C$34)</f>
        <v>1652539258.2034342</v>
      </c>
      <c r="D38" s="28">
        <v>45153524.024405956</v>
      </c>
      <c r="E38" s="29">
        <v>4306253.7572873943</v>
      </c>
      <c r="F38" s="29">
        <v>644080.42849978933</v>
      </c>
      <c r="G38" s="30">
        <v>175532.39403717793</v>
      </c>
      <c r="I38" t="s">
        <v>28</v>
      </c>
      <c r="J38">
        <v>2010</v>
      </c>
      <c r="K38" s="14">
        <f t="shared" ref="K38:K60" si="3">(C38*aLW*(Lmax*(1-EXP(-(K*(K$37-t0)))))^bLW)/1000000</f>
        <v>6695.2945366677959</v>
      </c>
      <c r="L38" s="3">
        <f t="shared" ref="L38:L60" si="4">(D38*aLW*(Lmax*(1-EXP(-(K*(L$37-t0)))))^bLW)/1000000</f>
        <v>2222.5241257675552</v>
      </c>
      <c r="M38" s="3">
        <f t="shared" ref="M38:M60" si="5">(E38*aLW*(Lmax*(1-EXP(-(K*(M$37-t0)))))^bLW)/1000000</f>
        <v>480.00182986702134</v>
      </c>
      <c r="N38" s="3">
        <f t="shared" ref="N38:N60" si="6">(F38*aLW*(Lmax*(1-EXP(-(K*(N$37-t0)))))^bLW)/1000000</f>
        <v>104.19821183433876</v>
      </c>
      <c r="O38" s="3">
        <f t="shared" ref="O38:O60" si="7">(G38*aLW*(Lmax*(1-EXP(-(K*(O$37-t0)))))^bLW)/1000000</f>
        <v>34.276279066715915</v>
      </c>
      <c r="P38" s="9">
        <f>SUM(M38:O38)</f>
        <v>618.47632076807599</v>
      </c>
      <c r="R38" t="s">
        <v>16</v>
      </c>
      <c r="S38">
        <v>2010</v>
      </c>
      <c r="T38" s="26">
        <v>7535294.2623439571</v>
      </c>
      <c r="U38" s="27">
        <v>25203634.845668271</v>
      </c>
      <c r="V38" s="27">
        <v>1927459.6467302332</v>
      </c>
      <c r="W38" s="27">
        <v>144168.62598848637</v>
      </c>
      <c r="X38" s="27">
        <v>0</v>
      </c>
      <c r="Z38" t="s">
        <v>42</v>
      </c>
      <c r="AA38">
        <v>2010</v>
      </c>
      <c r="AB38" s="14">
        <f t="shared" ref="AB38:AB60" si="8">(T38*aLW*(Lmax*(1-EXP(-(K*(AB$37-t0)))))^bLW)/1000000</f>
        <v>30.529389396596688</v>
      </c>
      <c r="AC38" s="3">
        <f t="shared" ref="AC38:AC60" si="9">(U38*aLW*(Lmax*(1-EXP(-(K*(AC$37-t0)))))^bLW)/1000000</f>
        <v>1240.5606807401455</v>
      </c>
      <c r="AD38" s="3">
        <f t="shared" ref="AD38:AD60" si="10">(V38*aLW*(Lmax*(1-EXP(-(K*(AD$37-t0)))))^bLW)/1000000</f>
        <v>214.84664155234287</v>
      </c>
      <c r="AE38" s="3">
        <f t="shared" ref="AE38:AE60" si="11">(W38*aLW*(Lmax*(1-EXP(-(K*(AE$37-t0)))))^bLW)/1000000</f>
        <v>23.323349640671115</v>
      </c>
      <c r="AF38" s="3">
        <f t="shared" ref="AF38:AF60" si="12">(X38*aLW*(Lmax*(1-EXP(-(K*(AF$37-t0)))))^bLW)/1000000</f>
        <v>0</v>
      </c>
      <c r="AG38" s="17">
        <f>SUM(AB38:AF38)</f>
        <v>1509.2600613297561</v>
      </c>
      <c r="AH38" s="3" t="e">
        <f>AG38*1000/($L$7*$L$8)</f>
        <v>#DIV/0!</v>
      </c>
      <c r="AJ38" s="34">
        <f t="array" ref="AJ38">SUM(T38:X38*$AJ$33:$AN$33)/SUM(T38:X38)</f>
        <v>15.804817727206203</v>
      </c>
      <c r="AL38" s="2">
        <f t="shared" ref="AL38:AL61" si="13">pricekga+AJ38*pricekgb</f>
        <v>16.102408863603102</v>
      </c>
      <c r="AM38" s="3">
        <f>AL38*AG38</f>
        <v>24302.722589038425</v>
      </c>
      <c r="AN38" s="3" t="e">
        <f t="shared" ref="AN38:AN61" si="14">AM38/boats</f>
        <v>#DIV/0!</v>
      </c>
      <c r="AP38">
        <v>1</v>
      </c>
      <c r="AQ38" s="2">
        <f t="shared" ref="AQ38:AQ69" ca="1" si="15">VLOOKUP($AP38,$AS$5:$AU$9,2)+VLOOKUP($AP38,$AS$5:$AU$9,3)*SQRT(-2*LN(RAND()))*SIN(2*PI()*RAND())</f>
        <v>7.8333445044650363</v>
      </c>
      <c r="AR38" s="2">
        <f ca="1">VLOOKUP($AP38,$AS$13:$AU$17,2)+VLOOKUP($AP38,$AS$13:$AU$17,3)*SQRT(-2*LN(RAND()))*SIN(2*PI()*RAND())</f>
        <v>7.7492372815794015</v>
      </c>
      <c r="AS38" s="2">
        <f ca="1">VLOOKUP($AP38,$AS$21:$AU$25,2)+VLOOKUP($AP38,$AS$21:$AU$25,3)*SQRT(-2*LN(RAND()))*SIN(2*PI()*RAND())</f>
        <v>7.7683445165979315</v>
      </c>
      <c r="AT38" s="2">
        <f ca="1">VLOOKUP($AP38,$AS$29:$AU$33,2)+VLOOKUP($AP38,$AS$29:$AU$33,3)*SQRT(-2*LN(RAND()))*SIN(2*PI()*RAND())</f>
        <v>6.5528955030715919</v>
      </c>
      <c r="AU38" s="2">
        <f ca="1">VLOOKUP($AP38,$AZ$5:$BB$9,2)+VLOOKUP($AP38,$AZ$5:$BB$9,3)*SQRT(-2*LN(RAND()))*SIN(2*PI()*RAND())</f>
        <v>7.9015369728366425</v>
      </c>
    </row>
    <row r="39" spans="1:47" x14ac:dyDescent="0.2">
      <c r="B39">
        <v>2011</v>
      </c>
      <c r="C39" s="10">
        <f t="shared" si="2"/>
        <v>1972293456.4760401</v>
      </c>
      <c r="D39" s="19">
        <f t="shared" ref="D39:D61" si="16">(P38/(aBH+bBH*P38))</f>
        <v>45153524.024405375</v>
      </c>
      <c r="E39" s="3">
        <f t="shared" ref="E39:G61" si="17">D38*EXP(-(M+D$34))</f>
        <v>18358052.898691695</v>
      </c>
      <c r="F39" s="3">
        <f t="shared" si="17"/>
        <v>1750792.1248570124</v>
      </c>
      <c r="G39" s="3">
        <f t="shared" si="17"/>
        <v>261863.56066073861</v>
      </c>
      <c r="I39" t="s">
        <v>29</v>
      </c>
      <c r="J39">
        <v>2011</v>
      </c>
      <c r="K39" s="14">
        <f t="shared" si="3"/>
        <v>7990.7848108889366</v>
      </c>
      <c r="L39" s="3">
        <f t="shared" si="4"/>
        <v>2222.524125767527</v>
      </c>
      <c r="M39" s="3">
        <f t="shared" si="5"/>
        <v>2046.3027682136412</v>
      </c>
      <c r="N39" s="3">
        <f t="shared" si="6"/>
        <v>283.24010578719634</v>
      </c>
      <c r="O39" s="3">
        <f t="shared" si="7"/>
        <v>51.134199654966856</v>
      </c>
      <c r="P39" s="9">
        <f>SUM(M39:O39)</f>
        <v>2380.6770736558042</v>
      </c>
      <c r="S39">
        <v>2011</v>
      </c>
      <c r="T39" s="10">
        <f t="shared" ref="T39:T60" si="18">(T$34/(T$34+4*M))*C39*(1-EXP(-(T$34+4*M)))</f>
        <v>0</v>
      </c>
      <c r="U39" s="19">
        <f t="shared" ref="U39:U61" si="19">(U$34/(U$34+M))*D39*(1-EXP(-(U$34+M)))</f>
        <v>0</v>
      </c>
      <c r="V39" s="3">
        <f t="shared" ref="V39:V61" si="20">(V$34/(V$34+M))*E39*(1-EXP(-(V$34+M)))</f>
        <v>0</v>
      </c>
      <c r="W39" s="3">
        <f t="shared" ref="W39:W61" si="21">(W$34/(W$34+M))*F39*(1-EXP(-(W$34+M)))</f>
        <v>0</v>
      </c>
      <c r="X39" s="3">
        <f t="shared" ref="X39:X61" si="22">(X$34/(X$34+M))*G39*(1-EXP(-(X$34+M)))</f>
        <v>0</v>
      </c>
      <c r="Z39" t="s">
        <v>29</v>
      </c>
      <c r="AA39">
        <v>2011</v>
      </c>
      <c r="AB39" s="14">
        <f t="shared" si="8"/>
        <v>0</v>
      </c>
      <c r="AC39" s="3">
        <f t="shared" si="9"/>
        <v>0</v>
      </c>
      <c r="AD39" s="3">
        <f t="shared" si="10"/>
        <v>0</v>
      </c>
      <c r="AE39" s="3">
        <f t="shared" si="11"/>
        <v>0</v>
      </c>
      <c r="AF39" s="3">
        <f t="shared" si="12"/>
        <v>0</v>
      </c>
      <c r="AG39" s="17">
        <f t="shared" ref="AG39:AG61" si="23">SUM(AB39:AF39)</f>
        <v>0</v>
      </c>
      <c r="AH39" s="3" t="e">
        <f>AG39*1000/($L$7*$L$8)</f>
        <v>#DIV/0!</v>
      </c>
      <c r="AJ39" s="34" t="e">
        <f t="array" ref="AJ39">SUM(T39:X39*$AJ$33:$AN$33)/SUM(T39:X39)</f>
        <v>#DIV/0!</v>
      </c>
      <c r="AL39" s="2" t="e">
        <f t="shared" si="13"/>
        <v>#DIV/0!</v>
      </c>
      <c r="AM39" s="3" t="e">
        <f t="shared" ref="AM39:AM61" si="24">AL39*AG39</f>
        <v>#DIV/0!</v>
      </c>
      <c r="AN39" s="3" t="e">
        <f t="shared" si="14"/>
        <v>#DIV/0!</v>
      </c>
      <c r="AP39">
        <v>2</v>
      </c>
      <c r="AQ39" s="2">
        <f t="shared" ca="1" si="15"/>
        <v>7.0431662430626325</v>
      </c>
      <c r="AR39" s="2">
        <f t="shared" ref="AR39:AR102" ca="1" si="25">VLOOKUP($AP39,$AS$13:$AU$17,2)+VLOOKUP($AP39,$AS$13:$AU$17,3)*SQRT(-2*LN(RAND()))*SIN(2*PI()*RAND())</f>
        <v>9.0952329035727661</v>
      </c>
      <c r="AS39" s="2">
        <f t="shared" ref="AS39:AS102" ca="1" si="26">VLOOKUP($AP39,$AS$21:$AU$25,2)+VLOOKUP($AP39,$AS$21:$AU$25,3)*SQRT(-2*LN(RAND()))*SIN(2*PI()*RAND())</f>
        <v>8.782730057142075</v>
      </c>
      <c r="AT39" s="2">
        <f t="shared" ref="AT39:AT102" ca="1" si="27">VLOOKUP($AP39,$AS$29:$AU$33,2)+VLOOKUP($AP39,$AS$29:$AU$33,3)*SQRT(-2*LN(RAND()))*SIN(2*PI()*RAND())</f>
        <v>10.317033555376284</v>
      </c>
      <c r="AU39" s="2">
        <f t="shared" ref="AU39:AU102" ca="1" si="28">VLOOKUP($AP39,$AZ$5:$BB$9,2)+VLOOKUP($AP39,$AZ$5:$BB$9,3)*SQRT(-2*LN(RAND()))*SIN(2*PI()*RAND())</f>
        <v>8.1601251500111616</v>
      </c>
    </row>
    <row r="40" spans="1:47" x14ac:dyDescent="0.2">
      <c r="B40">
        <v>2012</v>
      </c>
      <c r="C40" s="10">
        <f t="shared" si="2"/>
        <v>2013074897.3537486</v>
      </c>
      <c r="D40" s="19">
        <f t="shared" si="16"/>
        <v>53890398.989362612</v>
      </c>
      <c r="E40" s="3">
        <f t="shared" si="17"/>
        <v>18358052.89869146</v>
      </c>
      <c r="F40" s="3">
        <f t="shared" si="17"/>
        <v>7463827.3205210017</v>
      </c>
      <c r="G40" s="3">
        <f t="shared" si="17"/>
        <v>711818.958479636</v>
      </c>
      <c r="J40">
        <v>2012</v>
      </c>
      <c r="K40" s="14">
        <f t="shared" si="3"/>
        <v>8156.0116016901466</v>
      </c>
      <c r="L40" s="3">
        <f t="shared" si="4"/>
        <v>2652.5662058261387</v>
      </c>
      <c r="M40" s="3">
        <f t="shared" si="5"/>
        <v>2046.3027682136151</v>
      </c>
      <c r="N40" s="3">
        <f t="shared" si="6"/>
        <v>1207.4850062593182</v>
      </c>
      <c r="O40" s="3">
        <f t="shared" si="7"/>
        <v>138.99716573488681</v>
      </c>
      <c r="P40" s="9">
        <f t="shared" ref="P40:P61" si="29">SUM(M40:O40)</f>
        <v>3392.78494020782</v>
      </c>
      <c r="S40">
        <v>2012</v>
      </c>
      <c r="T40" s="10">
        <f t="shared" si="18"/>
        <v>0</v>
      </c>
      <c r="U40" s="19">
        <f t="shared" si="19"/>
        <v>0</v>
      </c>
      <c r="V40" s="3">
        <f t="shared" si="20"/>
        <v>0</v>
      </c>
      <c r="W40" s="3">
        <f t="shared" si="21"/>
        <v>0</v>
      </c>
      <c r="X40" s="3">
        <f t="shared" si="22"/>
        <v>0</v>
      </c>
      <c r="AA40">
        <v>2012</v>
      </c>
      <c r="AB40" s="14">
        <f t="shared" si="8"/>
        <v>0</v>
      </c>
      <c r="AC40" s="3">
        <f t="shared" si="9"/>
        <v>0</v>
      </c>
      <c r="AD40" s="3">
        <f t="shared" si="10"/>
        <v>0</v>
      </c>
      <c r="AE40" s="3">
        <f t="shared" si="11"/>
        <v>0</v>
      </c>
      <c r="AF40" s="3">
        <f t="shared" si="12"/>
        <v>0</v>
      </c>
      <c r="AG40" s="17">
        <f t="shared" si="23"/>
        <v>0</v>
      </c>
      <c r="AH40" s="3" t="e">
        <f t="shared" ref="AH40:AH60" si="30">AG40*1000/($L$7*$L$8)</f>
        <v>#DIV/0!</v>
      </c>
      <c r="AJ40" s="34" t="e">
        <f t="array" ref="AJ40">SUM(T40:X40*$AJ$33:$AN$33)/SUM(T40:X40)</f>
        <v>#DIV/0!</v>
      </c>
      <c r="AL40" s="2" t="e">
        <f t="shared" si="13"/>
        <v>#DIV/0!</v>
      </c>
      <c r="AM40" s="3" t="e">
        <f t="shared" si="24"/>
        <v>#DIV/0!</v>
      </c>
      <c r="AN40" s="3" t="e">
        <f t="shared" si="14"/>
        <v>#DIV/0!</v>
      </c>
      <c r="AP40">
        <v>3</v>
      </c>
      <c r="AQ40" s="2">
        <f t="shared" ca="1" si="15"/>
        <v>9.1059136127210945</v>
      </c>
      <c r="AR40" s="2">
        <f t="shared" ca="1" si="25"/>
        <v>7.1453992429333191</v>
      </c>
      <c r="AS40" s="2">
        <f t="shared" ca="1" si="26"/>
        <v>7.9666726457403749</v>
      </c>
      <c r="AT40" s="2">
        <f t="shared" ca="1" si="27"/>
        <v>8.3991095828286682</v>
      </c>
      <c r="AU40" s="2">
        <f t="shared" ca="1" si="28"/>
        <v>6.3944507677943605</v>
      </c>
    </row>
    <row r="41" spans="1:47" x14ac:dyDescent="0.2">
      <c r="B41">
        <v>2013</v>
      </c>
      <c r="C41" s="10">
        <f t="shared" si="2"/>
        <v>2032873842.6016037</v>
      </c>
      <c r="D41" s="19">
        <f t="shared" si="16"/>
        <v>55004699.760905787</v>
      </c>
      <c r="E41" s="3">
        <f t="shared" si="17"/>
        <v>21910201.180390283</v>
      </c>
      <c r="F41" s="3">
        <f t="shared" si="17"/>
        <v>7463827.3205209067</v>
      </c>
      <c r="G41" s="3">
        <f t="shared" si="17"/>
        <v>3034565.7340668114</v>
      </c>
      <c r="J41">
        <v>2013</v>
      </c>
      <c r="K41" s="14">
        <f t="shared" si="3"/>
        <v>8236.2274085411518</v>
      </c>
      <c r="L41" s="3">
        <f t="shared" si="4"/>
        <v>2707.4137598460084</v>
      </c>
      <c r="M41" s="3">
        <f t="shared" si="5"/>
        <v>2442.2473110285914</v>
      </c>
      <c r="N41" s="3">
        <f t="shared" si="6"/>
        <v>1207.485006259303</v>
      </c>
      <c r="O41" s="3">
        <f t="shared" si="7"/>
        <v>592.5608348117072</v>
      </c>
      <c r="P41" s="9">
        <f t="shared" si="29"/>
        <v>4242.2931520996017</v>
      </c>
      <c r="S41">
        <v>2013</v>
      </c>
      <c r="T41" s="10">
        <f t="shared" si="18"/>
        <v>0</v>
      </c>
      <c r="U41" s="19">
        <f t="shared" si="19"/>
        <v>0</v>
      </c>
      <c r="V41" s="3">
        <f t="shared" si="20"/>
        <v>0</v>
      </c>
      <c r="W41" s="3">
        <f t="shared" si="21"/>
        <v>0</v>
      </c>
      <c r="X41" s="3">
        <f t="shared" si="22"/>
        <v>0</v>
      </c>
      <c r="AA41">
        <v>2013</v>
      </c>
      <c r="AB41" s="14">
        <f t="shared" si="8"/>
        <v>0</v>
      </c>
      <c r="AC41" s="3">
        <f t="shared" si="9"/>
        <v>0</v>
      </c>
      <c r="AD41" s="3">
        <f t="shared" si="10"/>
        <v>0</v>
      </c>
      <c r="AE41" s="3">
        <f t="shared" si="11"/>
        <v>0</v>
      </c>
      <c r="AF41" s="3">
        <f t="shared" si="12"/>
        <v>0</v>
      </c>
      <c r="AG41" s="17">
        <f t="shared" si="23"/>
        <v>0</v>
      </c>
      <c r="AH41" s="3" t="e">
        <f t="shared" si="30"/>
        <v>#DIV/0!</v>
      </c>
      <c r="AJ41" s="34" t="e">
        <f t="array" ref="AJ41">SUM(T41:X41*$AJ$33:$AN$33)/SUM(T41:X41)</f>
        <v>#DIV/0!</v>
      </c>
      <c r="AL41" s="2" t="e">
        <f t="shared" si="13"/>
        <v>#DIV/0!</v>
      </c>
      <c r="AM41" s="3" t="e">
        <f t="shared" si="24"/>
        <v>#DIV/0!</v>
      </c>
      <c r="AN41" s="3" t="e">
        <f t="shared" si="14"/>
        <v>#DIV/0!</v>
      </c>
      <c r="AP41">
        <v>4</v>
      </c>
      <c r="AQ41" s="2">
        <f t="shared" ca="1" si="15"/>
        <v>8.0642678698383747</v>
      </c>
      <c r="AR41" s="2">
        <f t="shared" ca="1" si="25"/>
        <v>7.0041279406048229</v>
      </c>
      <c r="AS41" s="2">
        <f t="shared" ca="1" si="26"/>
        <v>6.5381762354549018</v>
      </c>
      <c r="AT41" s="2">
        <f t="shared" ca="1" si="27"/>
        <v>8.1397168351501641</v>
      </c>
      <c r="AU41" s="2">
        <f t="shared" ca="1" si="28"/>
        <v>7.2632757834896458</v>
      </c>
    </row>
    <row r="42" spans="1:47" x14ac:dyDescent="0.2">
      <c r="B42">
        <v>2014</v>
      </c>
      <c r="C42" s="10">
        <f t="shared" si="2"/>
        <v>2037898739.9979684</v>
      </c>
      <c r="D42" s="19">
        <f t="shared" si="16"/>
        <v>55545680.645607322</v>
      </c>
      <c r="E42" s="3">
        <f t="shared" si="17"/>
        <v>22363242.065925278</v>
      </c>
      <c r="F42" s="3">
        <f t="shared" si="17"/>
        <v>8908023.0387593508</v>
      </c>
      <c r="G42" s="3">
        <f t="shared" si="17"/>
        <v>3034565.7340667727</v>
      </c>
      <c r="J42">
        <v>2014</v>
      </c>
      <c r="K42" s="14">
        <f t="shared" si="3"/>
        <v>8256.5858768305952</v>
      </c>
      <c r="L42" s="3">
        <f t="shared" si="4"/>
        <v>2734.0416497794358</v>
      </c>
      <c r="M42" s="3">
        <f t="shared" si="5"/>
        <v>2492.7460661689192</v>
      </c>
      <c r="N42" s="3">
        <f t="shared" si="6"/>
        <v>1441.1244784751609</v>
      </c>
      <c r="O42" s="3">
        <f t="shared" si="7"/>
        <v>592.56083481169958</v>
      </c>
      <c r="P42" s="9">
        <f t="shared" si="29"/>
        <v>4526.4313794557793</v>
      </c>
      <c r="S42">
        <v>2014</v>
      </c>
      <c r="T42" s="10">
        <f t="shared" si="18"/>
        <v>0</v>
      </c>
      <c r="U42" s="19">
        <f t="shared" si="19"/>
        <v>0</v>
      </c>
      <c r="V42" s="3">
        <f t="shared" si="20"/>
        <v>0</v>
      </c>
      <c r="W42" s="3">
        <f t="shared" si="21"/>
        <v>0</v>
      </c>
      <c r="X42" s="3">
        <f t="shared" si="22"/>
        <v>0</v>
      </c>
      <c r="AA42">
        <v>2014</v>
      </c>
      <c r="AB42" s="14">
        <f t="shared" si="8"/>
        <v>0</v>
      </c>
      <c r="AC42" s="3">
        <f t="shared" si="9"/>
        <v>0</v>
      </c>
      <c r="AD42" s="3">
        <f t="shared" si="10"/>
        <v>0</v>
      </c>
      <c r="AE42" s="3">
        <f t="shared" si="11"/>
        <v>0</v>
      </c>
      <c r="AF42" s="3">
        <f t="shared" si="12"/>
        <v>0</v>
      </c>
      <c r="AG42" s="17">
        <f t="shared" si="23"/>
        <v>0</v>
      </c>
      <c r="AH42" s="3" t="e">
        <f t="shared" si="30"/>
        <v>#DIV/0!</v>
      </c>
      <c r="AJ42" s="34" t="e">
        <f t="array" ref="AJ42">SUM(T42:X42*$AJ$33:$AN$33)/SUM(T42:X42)</f>
        <v>#DIV/0!</v>
      </c>
      <c r="AL42" s="2" t="e">
        <f t="shared" si="13"/>
        <v>#DIV/0!</v>
      </c>
      <c r="AM42" s="3" t="e">
        <f t="shared" si="24"/>
        <v>#DIV/0!</v>
      </c>
      <c r="AN42" s="3" t="e">
        <f t="shared" si="14"/>
        <v>#DIV/0!</v>
      </c>
      <c r="AP42">
        <v>5</v>
      </c>
      <c r="AQ42" s="2">
        <f t="shared" ca="1" si="15"/>
        <v>7.6203466959602606</v>
      </c>
      <c r="AR42" s="2">
        <f t="shared" ca="1" si="25"/>
        <v>7.8282503241895212</v>
      </c>
      <c r="AS42" s="2">
        <f t="shared" ca="1" si="26"/>
        <v>7.1795746208510396</v>
      </c>
      <c r="AT42" s="2">
        <f t="shared" ca="1" si="27"/>
        <v>8.1315867569730464</v>
      </c>
      <c r="AU42" s="2">
        <f t="shared" ca="1" si="28"/>
        <v>7.9128292798244146</v>
      </c>
    </row>
    <row r="43" spans="1:47" x14ac:dyDescent="0.2">
      <c r="B43">
        <v>2015</v>
      </c>
      <c r="C43" s="10">
        <f t="shared" si="2"/>
        <v>2040608851.9548564</v>
      </c>
      <c r="D43" s="19">
        <f t="shared" si="16"/>
        <v>55682979.547391713</v>
      </c>
      <c r="E43" s="3">
        <f t="shared" si="17"/>
        <v>22583188.480144549</v>
      </c>
      <c r="F43" s="3">
        <f t="shared" si="17"/>
        <v>9092215.7174398936</v>
      </c>
      <c r="G43" s="3">
        <f t="shared" si="17"/>
        <v>3621731.895829807</v>
      </c>
      <c r="J43">
        <v>2015</v>
      </c>
      <c r="K43" s="14">
        <f t="shared" si="3"/>
        <v>8267.565947463494</v>
      </c>
      <c r="L43" s="3">
        <f t="shared" si="4"/>
        <v>2740.7997075002963</v>
      </c>
      <c r="M43" s="3">
        <f t="shared" si="5"/>
        <v>2517.2626616248367</v>
      </c>
      <c r="N43" s="3">
        <f t="shared" si="6"/>
        <v>1470.9228497689342</v>
      </c>
      <c r="O43" s="3">
        <f t="shared" si="7"/>
        <v>707.21700029907709</v>
      </c>
      <c r="P43" s="9">
        <f t="shared" si="29"/>
        <v>4695.4025116928478</v>
      </c>
      <c r="S43">
        <v>2015</v>
      </c>
      <c r="T43" s="10">
        <f t="shared" si="18"/>
        <v>0</v>
      </c>
      <c r="U43" s="19">
        <f t="shared" si="19"/>
        <v>0</v>
      </c>
      <c r="V43" s="3">
        <f t="shared" si="20"/>
        <v>0</v>
      </c>
      <c r="W43" s="3">
        <f t="shared" si="21"/>
        <v>0</v>
      </c>
      <c r="X43" s="3">
        <f t="shared" si="22"/>
        <v>0</v>
      </c>
      <c r="AA43">
        <v>2015</v>
      </c>
      <c r="AB43" s="14">
        <f t="shared" si="8"/>
        <v>0</v>
      </c>
      <c r="AC43" s="3">
        <f t="shared" si="9"/>
        <v>0</v>
      </c>
      <c r="AD43" s="3">
        <f t="shared" si="10"/>
        <v>0</v>
      </c>
      <c r="AE43" s="3">
        <f t="shared" si="11"/>
        <v>0</v>
      </c>
      <c r="AF43" s="3">
        <f t="shared" si="12"/>
        <v>0</v>
      </c>
      <c r="AG43" s="17">
        <f t="shared" si="23"/>
        <v>0</v>
      </c>
      <c r="AH43" s="3" t="e">
        <f t="shared" si="30"/>
        <v>#DIV/0!</v>
      </c>
      <c r="AJ43" s="34" t="e">
        <f t="array" ref="AJ43">SUM(T43:X43*$AJ$33:$AN$33)/SUM(T43:X43)</f>
        <v>#DIV/0!</v>
      </c>
      <c r="AL43" s="2" t="e">
        <f t="shared" si="13"/>
        <v>#DIV/0!</v>
      </c>
      <c r="AM43" s="3" t="e">
        <f t="shared" si="24"/>
        <v>#DIV/0!</v>
      </c>
      <c r="AN43" s="3" t="e">
        <f t="shared" si="14"/>
        <v>#DIV/0!</v>
      </c>
      <c r="AP43">
        <v>6</v>
      </c>
      <c r="AQ43" s="2">
        <f t="shared" ca="1" si="15"/>
        <v>7.018535813380689</v>
      </c>
      <c r="AR43" s="2">
        <f t="shared" ca="1" si="25"/>
        <v>8.3658359546392624</v>
      </c>
      <c r="AS43" s="2">
        <f t="shared" ca="1" si="26"/>
        <v>6.0997691269082317</v>
      </c>
      <c r="AT43" s="2">
        <f t="shared" ca="1" si="27"/>
        <v>6.9449265821124069</v>
      </c>
      <c r="AU43" s="2">
        <f t="shared" ca="1" si="28"/>
        <v>5.0944148274086167</v>
      </c>
    </row>
    <row r="44" spans="1:47" x14ac:dyDescent="0.2">
      <c r="B44">
        <v>2016</v>
      </c>
      <c r="C44" s="10">
        <f t="shared" si="2"/>
        <v>2041151629.5664575</v>
      </c>
      <c r="D44" s="19">
        <f t="shared" si="16"/>
        <v>55757029.894302808</v>
      </c>
      <c r="E44" s="3">
        <f t="shared" si="17"/>
        <v>22639010.047925789</v>
      </c>
      <c r="F44" s="3">
        <f t="shared" si="17"/>
        <v>9181639.2562301867</v>
      </c>
      <c r="G44" s="3">
        <f t="shared" si="17"/>
        <v>3696619.0505276648</v>
      </c>
      <c r="J44">
        <v>2016</v>
      </c>
      <c r="K44" s="14">
        <f t="shared" si="3"/>
        <v>8269.7650213793113</v>
      </c>
      <c r="L44" s="3">
        <f t="shared" si="4"/>
        <v>2744.4445765573028</v>
      </c>
      <c r="M44" s="3">
        <f t="shared" si="5"/>
        <v>2523.4848807951998</v>
      </c>
      <c r="N44" s="3">
        <f t="shared" si="6"/>
        <v>1485.3896343901506</v>
      </c>
      <c r="O44" s="3">
        <f t="shared" si="7"/>
        <v>721.84024421377262</v>
      </c>
      <c r="P44" s="9">
        <f t="shared" si="29"/>
        <v>4730.7147593991231</v>
      </c>
      <c r="S44">
        <v>2016</v>
      </c>
      <c r="T44" s="10">
        <f t="shared" si="18"/>
        <v>0</v>
      </c>
      <c r="U44" s="19">
        <f t="shared" si="19"/>
        <v>0</v>
      </c>
      <c r="V44" s="3">
        <f t="shared" si="20"/>
        <v>0</v>
      </c>
      <c r="W44" s="3">
        <f t="shared" si="21"/>
        <v>0</v>
      </c>
      <c r="X44" s="3">
        <f t="shared" si="22"/>
        <v>0</v>
      </c>
      <c r="AA44">
        <v>2016</v>
      </c>
      <c r="AB44" s="14">
        <f t="shared" si="8"/>
        <v>0</v>
      </c>
      <c r="AC44" s="3">
        <f t="shared" si="9"/>
        <v>0</v>
      </c>
      <c r="AD44" s="3">
        <f t="shared" si="10"/>
        <v>0</v>
      </c>
      <c r="AE44" s="3">
        <f t="shared" si="11"/>
        <v>0</v>
      </c>
      <c r="AF44" s="3">
        <f t="shared" si="12"/>
        <v>0</v>
      </c>
      <c r="AG44" s="17">
        <f t="shared" si="23"/>
        <v>0</v>
      </c>
      <c r="AH44" s="3" t="e">
        <f t="shared" si="30"/>
        <v>#DIV/0!</v>
      </c>
      <c r="AJ44" s="34" t="e">
        <f t="array" ref="AJ44">SUM(T44:X44*$AJ$33:$AN$33)/SUM(T44:X44)</f>
        <v>#DIV/0!</v>
      </c>
      <c r="AL44" s="2" t="e">
        <f t="shared" si="13"/>
        <v>#DIV/0!</v>
      </c>
      <c r="AM44" s="3" t="e">
        <f t="shared" si="24"/>
        <v>#DIV/0!</v>
      </c>
      <c r="AN44" s="3" t="e">
        <f t="shared" si="14"/>
        <v>#DIV/0!</v>
      </c>
      <c r="AP44">
        <v>7</v>
      </c>
      <c r="AQ44" s="2">
        <f t="shared" ca="1" si="15"/>
        <v>7.4553971256938238</v>
      </c>
      <c r="AR44" s="2">
        <f t="shared" ca="1" si="25"/>
        <v>7.4664672349392029</v>
      </c>
      <c r="AS44" s="2">
        <f t="shared" ca="1" si="26"/>
        <v>8.3173621690490158</v>
      </c>
      <c r="AT44" s="2">
        <f t="shared" ca="1" si="27"/>
        <v>7.885153286858297</v>
      </c>
      <c r="AU44" s="2">
        <f t="shared" ca="1" si="28"/>
        <v>7.9296887291593912</v>
      </c>
    </row>
    <row r="45" spans="1:47" x14ac:dyDescent="0.2">
      <c r="B45">
        <v>2017</v>
      </c>
      <c r="C45" s="10">
        <f t="shared" si="2"/>
        <v>2041366588.8249071</v>
      </c>
      <c r="D45" s="19">
        <f t="shared" si="16"/>
        <v>55771860.599112801</v>
      </c>
      <c r="E45" s="3">
        <f t="shared" si="17"/>
        <v>22669116.672273107</v>
      </c>
      <c r="F45" s="3">
        <f t="shared" si="17"/>
        <v>9204334.6120491922</v>
      </c>
      <c r="G45" s="3">
        <f t="shared" si="17"/>
        <v>3732975.9482664345</v>
      </c>
      <c r="J45">
        <v>2017</v>
      </c>
      <c r="K45" s="14">
        <f t="shared" si="3"/>
        <v>8270.6359329425668</v>
      </c>
      <c r="L45" s="3">
        <f t="shared" si="4"/>
        <v>2745.1745660753859</v>
      </c>
      <c r="M45" s="3">
        <f t="shared" si="5"/>
        <v>2526.8407524164149</v>
      </c>
      <c r="N45" s="3">
        <f t="shared" si="6"/>
        <v>1489.061249593228</v>
      </c>
      <c r="O45" s="3">
        <f t="shared" si="7"/>
        <v>728.93966981968208</v>
      </c>
      <c r="P45" s="9">
        <f t="shared" si="29"/>
        <v>4744.8416718293256</v>
      </c>
      <c r="S45">
        <v>2017</v>
      </c>
      <c r="T45" s="10">
        <f t="shared" si="18"/>
        <v>0</v>
      </c>
      <c r="U45" s="19">
        <f t="shared" si="19"/>
        <v>0</v>
      </c>
      <c r="V45" s="3">
        <f t="shared" si="20"/>
        <v>0</v>
      </c>
      <c r="W45" s="3">
        <f t="shared" si="21"/>
        <v>0</v>
      </c>
      <c r="X45" s="3">
        <f t="shared" si="22"/>
        <v>0</v>
      </c>
      <c r="AA45">
        <v>2017</v>
      </c>
      <c r="AB45" s="14">
        <f t="shared" si="8"/>
        <v>0</v>
      </c>
      <c r="AC45" s="3">
        <f t="shared" si="9"/>
        <v>0</v>
      </c>
      <c r="AD45" s="3">
        <f t="shared" si="10"/>
        <v>0</v>
      </c>
      <c r="AE45" s="3">
        <f t="shared" si="11"/>
        <v>0</v>
      </c>
      <c r="AF45" s="3">
        <f t="shared" si="12"/>
        <v>0</v>
      </c>
      <c r="AG45" s="17">
        <f t="shared" si="23"/>
        <v>0</v>
      </c>
      <c r="AH45" s="3" t="e">
        <f t="shared" si="30"/>
        <v>#DIV/0!</v>
      </c>
      <c r="AJ45" s="34" t="e">
        <f t="array" ref="AJ45">SUM(T45:X45*$AJ$33:$AN$33)/SUM(T45:X45)</f>
        <v>#DIV/0!</v>
      </c>
      <c r="AL45" s="2" t="e">
        <f t="shared" si="13"/>
        <v>#DIV/0!</v>
      </c>
      <c r="AM45" s="3" t="e">
        <f t="shared" si="24"/>
        <v>#DIV/0!</v>
      </c>
      <c r="AN45" s="3" t="e">
        <f t="shared" si="14"/>
        <v>#DIV/0!</v>
      </c>
      <c r="AP45">
        <v>8</v>
      </c>
      <c r="AQ45" s="2">
        <f t="shared" ca="1" si="15"/>
        <v>6.9638159926932612</v>
      </c>
      <c r="AR45" s="2">
        <f t="shared" ca="1" si="25"/>
        <v>7.9294474316518357</v>
      </c>
      <c r="AS45" s="2">
        <f t="shared" ca="1" si="26"/>
        <v>7.851440377925698</v>
      </c>
      <c r="AT45" s="2">
        <f t="shared" ca="1" si="27"/>
        <v>8.4860131471103575</v>
      </c>
      <c r="AU45" s="2">
        <f t="shared" ca="1" si="28"/>
        <v>7.7509808499738524</v>
      </c>
    </row>
    <row r="46" spans="1:47" x14ac:dyDescent="0.2">
      <c r="B46">
        <v>2018</v>
      </c>
      <c r="C46" s="10">
        <f t="shared" si="2"/>
        <v>2041434108.7211518</v>
      </c>
      <c r="D46" s="19">
        <f t="shared" si="16"/>
        <v>55777734.086228155</v>
      </c>
      <c r="E46" s="3">
        <f t="shared" si="17"/>
        <v>22675146.386881419</v>
      </c>
      <c r="F46" s="3">
        <f t="shared" si="17"/>
        <v>9216575.0520660188</v>
      </c>
      <c r="G46" s="3">
        <f t="shared" si="17"/>
        <v>3742203.1913594594</v>
      </c>
      <c r="J46">
        <v>2018</v>
      </c>
      <c r="K46" s="14">
        <f t="shared" si="3"/>
        <v>8270.9094910987169</v>
      </c>
      <c r="L46" s="3">
        <f t="shared" si="4"/>
        <v>2745.4636679140199</v>
      </c>
      <c r="M46" s="3">
        <f t="shared" si="5"/>
        <v>2527.5128619131365</v>
      </c>
      <c r="N46" s="3">
        <f t="shared" si="6"/>
        <v>1491.0414866962085</v>
      </c>
      <c r="O46" s="3">
        <f t="shared" si="7"/>
        <v>730.74147717841936</v>
      </c>
      <c r="P46" s="9">
        <f t="shared" si="29"/>
        <v>4749.2958257877644</v>
      </c>
      <c r="S46">
        <v>2018</v>
      </c>
      <c r="T46" s="10">
        <f t="shared" si="18"/>
        <v>0</v>
      </c>
      <c r="U46" s="19">
        <f t="shared" si="19"/>
        <v>0</v>
      </c>
      <c r="V46" s="3">
        <f t="shared" si="20"/>
        <v>0</v>
      </c>
      <c r="W46" s="3">
        <f t="shared" si="21"/>
        <v>0</v>
      </c>
      <c r="X46" s="3">
        <f t="shared" si="22"/>
        <v>0</v>
      </c>
      <c r="AA46">
        <v>2018</v>
      </c>
      <c r="AB46" s="14">
        <f t="shared" si="8"/>
        <v>0</v>
      </c>
      <c r="AC46" s="3">
        <f t="shared" si="9"/>
        <v>0</v>
      </c>
      <c r="AD46" s="3">
        <f t="shared" si="10"/>
        <v>0</v>
      </c>
      <c r="AE46" s="3">
        <f t="shared" si="11"/>
        <v>0</v>
      </c>
      <c r="AF46" s="3">
        <f t="shared" si="12"/>
        <v>0</v>
      </c>
      <c r="AG46" s="17">
        <f t="shared" si="23"/>
        <v>0</v>
      </c>
      <c r="AH46" s="3" t="e">
        <f t="shared" si="30"/>
        <v>#DIV/0!</v>
      </c>
      <c r="AJ46" s="34" t="e">
        <f t="array" ref="AJ46">SUM(T46:X46*$AJ$33:$AN$33)/SUM(T46:X46)</f>
        <v>#DIV/0!</v>
      </c>
      <c r="AL46" s="2" t="e">
        <f t="shared" si="13"/>
        <v>#DIV/0!</v>
      </c>
      <c r="AM46" s="3" t="e">
        <f t="shared" si="24"/>
        <v>#DIV/0!</v>
      </c>
      <c r="AN46" s="3" t="e">
        <f t="shared" si="14"/>
        <v>#DIV/0!</v>
      </c>
      <c r="AP46">
        <v>9</v>
      </c>
      <c r="AQ46" s="2">
        <f t="shared" ca="1" si="15"/>
        <v>7.910305295296344</v>
      </c>
      <c r="AR46" s="2">
        <f t="shared" ca="1" si="25"/>
        <v>6.3794323208286912</v>
      </c>
      <c r="AS46" s="2">
        <f t="shared" ca="1" si="26"/>
        <v>6.1040411688786982</v>
      </c>
      <c r="AT46" s="2">
        <f t="shared" ca="1" si="27"/>
        <v>8.8817862303121569</v>
      </c>
      <c r="AU46" s="2">
        <f t="shared" ca="1" si="28"/>
        <v>7.031559415605976</v>
      </c>
    </row>
    <row r="47" spans="1:47" x14ac:dyDescent="0.2">
      <c r="B47">
        <v>2019</v>
      </c>
      <c r="C47" s="10">
        <f t="shared" si="2"/>
        <v>2041458856.1432402</v>
      </c>
      <c r="D47" s="19">
        <f t="shared" si="16"/>
        <v>55779578.98113282</v>
      </c>
      <c r="E47" s="3">
        <f t="shared" si="17"/>
        <v>22677534.368539397</v>
      </c>
      <c r="F47" s="3">
        <f t="shared" si="17"/>
        <v>9219026.5510826539</v>
      </c>
      <c r="G47" s="3">
        <f t="shared" si="17"/>
        <v>3747179.782892176</v>
      </c>
      <c r="J47">
        <v>2019</v>
      </c>
      <c r="K47" s="14">
        <f t="shared" si="3"/>
        <v>8271.0097557545087</v>
      </c>
      <c r="L47" s="3">
        <f t="shared" si="4"/>
        <v>2745.5544764062411</v>
      </c>
      <c r="M47" s="3">
        <f t="shared" si="5"/>
        <v>2527.7790412026352</v>
      </c>
      <c r="N47" s="3">
        <f t="shared" si="6"/>
        <v>1491.4380859446003</v>
      </c>
      <c r="O47" s="3">
        <f t="shared" si="7"/>
        <v>731.71325814860484</v>
      </c>
      <c r="P47" s="9">
        <f t="shared" si="29"/>
        <v>4750.9303852958401</v>
      </c>
      <c r="S47">
        <v>2019</v>
      </c>
      <c r="T47" s="10">
        <f t="shared" si="18"/>
        <v>0</v>
      </c>
      <c r="U47" s="19">
        <f t="shared" si="19"/>
        <v>0</v>
      </c>
      <c r="V47" s="3">
        <f t="shared" si="20"/>
        <v>0</v>
      </c>
      <c r="W47" s="3">
        <f t="shared" si="21"/>
        <v>0</v>
      </c>
      <c r="X47" s="3">
        <f t="shared" si="22"/>
        <v>0</v>
      </c>
      <c r="AA47">
        <v>2019</v>
      </c>
      <c r="AB47" s="14">
        <f t="shared" si="8"/>
        <v>0</v>
      </c>
      <c r="AC47" s="3">
        <f t="shared" si="9"/>
        <v>0</v>
      </c>
      <c r="AD47" s="3">
        <f t="shared" si="10"/>
        <v>0</v>
      </c>
      <c r="AE47" s="3">
        <f t="shared" si="11"/>
        <v>0</v>
      </c>
      <c r="AF47" s="3">
        <f t="shared" si="12"/>
        <v>0</v>
      </c>
      <c r="AG47" s="17">
        <f t="shared" si="23"/>
        <v>0</v>
      </c>
      <c r="AH47" s="3" t="e">
        <f t="shared" si="30"/>
        <v>#DIV/0!</v>
      </c>
      <c r="AJ47" s="34" t="e">
        <f t="array" ref="AJ47">SUM(T47:X47*$AJ$33:$AN$33)/SUM(T47:X47)</f>
        <v>#DIV/0!</v>
      </c>
      <c r="AL47" s="2" t="e">
        <f t="shared" si="13"/>
        <v>#DIV/0!</v>
      </c>
      <c r="AM47" s="3" t="e">
        <f t="shared" si="24"/>
        <v>#DIV/0!</v>
      </c>
      <c r="AN47" s="3" t="e">
        <f t="shared" si="14"/>
        <v>#DIV/0!</v>
      </c>
      <c r="AP47">
        <v>10</v>
      </c>
      <c r="AQ47" s="2">
        <f t="shared" ca="1" si="15"/>
        <v>7.2329362408868922</v>
      </c>
      <c r="AR47" s="2">
        <f t="shared" ca="1" si="25"/>
        <v>8.0704231750820252</v>
      </c>
      <c r="AS47" s="2">
        <f t="shared" ca="1" si="26"/>
        <v>8.8819630234127072</v>
      </c>
      <c r="AT47" s="2">
        <f t="shared" ca="1" si="27"/>
        <v>6.7202030802308652</v>
      </c>
      <c r="AU47" s="2">
        <f t="shared" ca="1" si="28"/>
        <v>8.4642322945825121</v>
      </c>
    </row>
    <row r="48" spans="1:47" x14ac:dyDescent="0.2">
      <c r="B48">
        <v>2020</v>
      </c>
      <c r="C48" s="10">
        <f t="shared" si="2"/>
        <v>2041465443.9087713</v>
      </c>
      <c r="D48" s="19">
        <f t="shared" si="16"/>
        <v>55780255.172825247</v>
      </c>
      <c r="E48" s="3">
        <f t="shared" si="17"/>
        <v>22678284.446833044</v>
      </c>
      <c r="F48" s="3">
        <f t="shared" si="17"/>
        <v>9219997.4319728054</v>
      </c>
      <c r="G48" s="3">
        <f t="shared" si="17"/>
        <v>3748176.4880132237</v>
      </c>
      <c r="J48">
        <v>2020</v>
      </c>
      <c r="K48" s="14">
        <f t="shared" si="3"/>
        <v>8271.0364462130583</v>
      </c>
      <c r="L48" s="3">
        <f t="shared" si="4"/>
        <v>2745.5877595747766</v>
      </c>
      <c r="M48" s="3">
        <f t="shared" si="5"/>
        <v>2527.8626495949384</v>
      </c>
      <c r="N48" s="3">
        <f t="shared" si="6"/>
        <v>1491.5951533668999</v>
      </c>
      <c r="O48" s="3">
        <f t="shared" si="7"/>
        <v>731.90788514645135</v>
      </c>
      <c r="P48" s="9">
        <f t="shared" si="29"/>
        <v>4751.3656881082898</v>
      </c>
      <c r="S48">
        <v>2020</v>
      </c>
      <c r="T48" s="10">
        <f t="shared" si="18"/>
        <v>0</v>
      </c>
      <c r="U48" s="19">
        <f t="shared" si="19"/>
        <v>0</v>
      </c>
      <c r="V48" s="3">
        <f t="shared" si="20"/>
        <v>0</v>
      </c>
      <c r="W48" s="3">
        <f t="shared" si="21"/>
        <v>0</v>
      </c>
      <c r="X48" s="3">
        <f t="shared" si="22"/>
        <v>0</v>
      </c>
      <c r="AA48">
        <v>2020</v>
      </c>
      <c r="AB48" s="14">
        <f t="shared" si="8"/>
        <v>0</v>
      </c>
      <c r="AC48" s="3">
        <f t="shared" si="9"/>
        <v>0</v>
      </c>
      <c r="AD48" s="3">
        <f t="shared" si="10"/>
        <v>0</v>
      </c>
      <c r="AE48" s="3">
        <f t="shared" si="11"/>
        <v>0</v>
      </c>
      <c r="AF48" s="3">
        <f t="shared" si="12"/>
        <v>0</v>
      </c>
      <c r="AG48" s="17">
        <f t="shared" si="23"/>
        <v>0</v>
      </c>
      <c r="AH48" s="3" t="e">
        <f t="shared" si="30"/>
        <v>#DIV/0!</v>
      </c>
      <c r="AJ48" s="34" t="e">
        <f t="array" ref="AJ48">SUM(T48:X48*$AJ$33:$AN$33)/SUM(T48:X48)</f>
        <v>#DIV/0!</v>
      </c>
      <c r="AL48" s="2" t="e">
        <f t="shared" si="13"/>
        <v>#DIV/0!</v>
      </c>
      <c r="AM48" s="3" t="e">
        <f t="shared" si="24"/>
        <v>#DIV/0!</v>
      </c>
      <c r="AN48" s="3" t="e">
        <f t="shared" si="14"/>
        <v>#DIV/0!</v>
      </c>
      <c r="AP48">
        <v>11</v>
      </c>
      <c r="AQ48" s="2">
        <f t="shared" ca="1" si="15"/>
        <v>8.2771124351523273</v>
      </c>
      <c r="AR48" s="2">
        <f t="shared" ca="1" si="25"/>
        <v>6.7731641888719274</v>
      </c>
      <c r="AS48" s="2">
        <f t="shared" ca="1" si="26"/>
        <v>8.1020584307119012</v>
      </c>
      <c r="AT48" s="2">
        <f t="shared" ca="1" si="27"/>
        <v>8.1443297931337177</v>
      </c>
      <c r="AU48" s="2">
        <f t="shared" ca="1" si="28"/>
        <v>7.4365075199177033</v>
      </c>
    </row>
    <row r="49" spans="2:47" x14ac:dyDescent="0.2">
      <c r="B49">
        <v>2021</v>
      </c>
      <c r="C49" s="10">
        <f t="shared" si="2"/>
        <v>2041467820.5174358</v>
      </c>
      <c r="D49" s="19">
        <f t="shared" si="16"/>
        <v>55780435.175102167</v>
      </c>
      <c r="E49" s="3">
        <f t="shared" si="17"/>
        <v>22678559.365859356</v>
      </c>
      <c r="F49" s="3">
        <f t="shared" si="17"/>
        <v>9220302.3910494316</v>
      </c>
      <c r="G49" s="3">
        <f t="shared" si="17"/>
        <v>3748571.2187263812</v>
      </c>
      <c r="J49">
        <v>2021</v>
      </c>
      <c r="K49" s="14">
        <f t="shared" si="3"/>
        <v>8271.0460750886959</v>
      </c>
      <c r="L49" s="3">
        <f t="shared" si="4"/>
        <v>2745.5966195566225</v>
      </c>
      <c r="M49" s="3">
        <f t="shared" si="5"/>
        <v>2527.8932937796831</v>
      </c>
      <c r="N49" s="3">
        <f t="shared" si="6"/>
        <v>1491.644489116072</v>
      </c>
      <c r="O49" s="3">
        <f t="shared" si="7"/>
        <v>731.98496436681182</v>
      </c>
      <c r="P49" s="9">
        <f t="shared" si="29"/>
        <v>4751.5227472625675</v>
      </c>
      <c r="S49">
        <v>2021</v>
      </c>
      <c r="T49" s="10">
        <f t="shared" si="18"/>
        <v>0</v>
      </c>
      <c r="U49" s="19">
        <f t="shared" si="19"/>
        <v>0</v>
      </c>
      <c r="V49" s="3">
        <f t="shared" si="20"/>
        <v>0</v>
      </c>
      <c r="W49" s="3">
        <f t="shared" si="21"/>
        <v>0</v>
      </c>
      <c r="X49" s="3">
        <f t="shared" si="22"/>
        <v>0</v>
      </c>
      <c r="AA49">
        <v>2021</v>
      </c>
      <c r="AB49" s="14">
        <f t="shared" si="8"/>
        <v>0</v>
      </c>
      <c r="AC49" s="3">
        <f t="shared" si="9"/>
        <v>0</v>
      </c>
      <c r="AD49" s="3">
        <f t="shared" si="10"/>
        <v>0</v>
      </c>
      <c r="AE49" s="3">
        <f t="shared" si="11"/>
        <v>0</v>
      </c>
      <c r="AF49" s="3">
        <f t="shared" si="12"/>
        <v>0</v>
      </c>
      <c r="AG49" s="17">
        <f t="shared" si="23"/>
        <v>0</v>
      </c>
      <c r="AH49" s="3" t="e">
        <f t="shared" si="30"/>
        <v>#DIV/0!</v>
      </c>
      <c r="AJ49" s="34" t="e">
        <f t="array" ref="AJ49">SUM(T49:X49*$AJ$33:$AN$33)/SUM(T49:X49)</f>
        <v>#DIV/0!</v>
      </c>
      <c r="AL49" s="2" t="e">
        <f t="shared" si="13"/>
        <v>#DIV/0!</v>
      </c>
      <c r="AM49" s="3" t="e">
        <f t="shared" si="24"/>
        <v>#DIV/0!</v>
      </c>
      <c r="AN49" s="3" t="e">
        <f t="shared" si="14"/>
        <v>#DIV/0!</v>
      </c>
      <c r="AP49">
        <v>12</v>
      </c>
      <c r="AQ49" s="2">
        <f t="shared" ca="1" si="15"/>
        <v>8.2063454333032748</v>
      </c>
      <c r="AR49" s="2">
        <f t="shared" ca="1" si="25"/>
        <v>8.2027217694543282</v>
      </c>
      <c r="AS49" s="2">
        <f t="shared" ca="1" si="26"/>
        <v>6.7386190659301191</v>
      </c>
      <c r="AT49" s="2">
        <f t="shared" ca="1" si="27"/>
        <v>6.842443089775518</v>
      </c>
      <c r="AU49" s="2">
        <f t="shared" ca="1" si="28"/>
        <v>6.6098795527217948</v>
      </c>
    </row>
    <row r="50" spans="2:47" x14ac:dyDescent="0.2">
      <c r="B50">
        <v>2022</v>
      </c>
      <c r="C50" s="10">
        <f t="shared" si="2"/>
        <v>2041468583.9072843</v>
      </c>
      <c r="D50" s="19">
        <f t="shared" si="16"/>
        <v>55780500.112897679</v>
      </c>
      <c r="E50" s="3">
        <f t="shared" si="17"/>
        <v>22678632.549323834</v>
      </c>
      <c r="F50" s="3">
        <f t="shared" si="17"/>
        <v>9220414.1647844147</v>
      </c>
      <c r="G50" s="3">
        <f t="shared" si="17"/>
        <v>3748695.2058343999</v>
      </c>
      <c r="J50">
        <v>2022</v>
      </c>
      <c r="K50" s="14">
        <f t="shared" si="3"/>
        <v>8271.0491679773277</v>
      </c>
      <c r="L50" s="3">
        <f t="shared" si="4"/>
        <v>2745.5998158922425</v>
      </c>
      <c r="M50" s="3">
        <f t="shared" si="5"/>
        <v>2527.9014512638551</v>
      </c>
      <c r="N50" s="3">
        <f t="shared" si="6"/>
        <v>1491.662571676572</v>
      </c>
      <c r="O50" s="3">
        <f t="shared" si="7"/>
        <v>732.00917537776752</v>
      </c>
      <c r="P50" s="9">
        <f t="shared" si="29"/>
        <v>4751.573198318195</v>
      </c>
      <c r="S50">
        <v>2022</v>
      </c>
      <c r="T50" s="10">
        <f t="shared" si="18"/>
        <v>0</v>
      </c>
      <c r="U50" s="19">
        <f t="shared" si="19"/>
        <v>0</v>
      </c>
      <c r="V50" s="3">
        <f t="shared" si="20"/>
        <v>0</v>
      </c>
      <c r="W50" s="3">
        <f t="shared" si="21"/>
        <v>0</v>
      </c>
      <c r="X50" s="3">
        <f t="shared" si="22"/>
        <v>0</v>
      </c>
      <c r="AA50">
        <v>2022</v>
      </c>
      <c r="AB50" s="14">
        <f t="shared" si="8"/>
        <v>0</v>
      </c>
      <c r="AC50" s="3">
        <f t="shared" si="9"/>
        <v>0</v>
      </c>
      <c r="AD50" s="3">
        <f t="shared" si="10"/>
        <v>0</v>
      </c>
      <c r="AE50" s="3">
        <f t="shared" si="11"/>
        <v>0</v>
      </c>
      <c r="AF50" s="3">
        <f t="shared" si="12"/>
        <v>0</v>
      </c>
      <c r="AG50" s="17">
        <f t="shared" si="23"/>
        <v>0</v>
      </c>
      <c r="AH50" s="3" t="e">
        <f t="shared" si="30"/>
        <v>#DIV/0!</v>
      </c>
      <c r="AJ50" s="34" t="e">
        <f t="array" ref="AJ50">SUM(T50:X50*$AJ$33:$AN$33)/SUM(T50:X50)</f>
        <v>#DIV/0!</v>
      </c>
      <c r="AL50" s="2" t="e">
        <f t="shared" si="13"/>
        <v>#DIV/0!</v>
      </c>
      <c r="AM50" s="3" t="e">
        <f t="shared" si="24"/>
        <v>#DIV/0!</v>
      </c>
      <c r="AN50" s="3" t="e">
        <f t="shared" si="14"/>
        <v>#DIV/0!</v>
      </c>
      <c r="AP50">
        <v>13</v>
      </c>
      <c r="AQ50" s="2">
        <f t="shared" ca="1" si="15"/>
        <v>6.9032109892718543</v>
      </c>
      <c r="AR50" s="2">
        <f t="shared" ca="1" si="25"/>
        <v>8.3925927794936861</v>
      </c>
      <c r="AS50" s="2">
        <f t="shared" ca="1" si="26"/>
        <v>6.9970371491063554</v>
      </c>
      <c r="AT50" s="2">
        <f t="shared" ca="1" si="27"/>
        <v>8.3293148535271353</v>
      </c>
      <c r="AU50" s="2">
        <f t="shared" ca="1" si="28"/>
        <v>6.779912911319661</v>
      </c>
    </row>
    <row r="51" spans="2:47" x14ac:dyDescent="0.2">
      <c r="B51">
        <v>2023</v>
      </c>
      <c r="C51" s="10">
        <f t="shared" si="2"/>
        <v>2041468835.5420153</v>
      </c>
      <c r="D51" s="19">
        <f t="shared" si="16"/>
        <v>55780520.971550018</v>
      </c>
      <c r="E51" s="3">
        <f t="shared" si="17"/>
        <v>22678658.95106126</v>
      </c>
      <c r="F51" s="3">
        <f t="shared" si="17"/>
        <v>9220443.9189606663</v>
      </c>
      <c r="G51" s="3">
        <f t="shared" si="17"/>
        <v>3748740.6496437998</v>
      </c>
      <c r="J51">
        <v>2023</v>
      </c>
      <c r="K51" s="14">
        <f t="shared" si="3"/>
        <v>8271.0501874802721</v>
      </c>
      <c r="L51" s="3">
        <f t="shared" si="4"/>
        <v>2745.600842586372</v>
      </c>
      <c r="M51" s="3">
        <f t="shared" si="5"/>
        <v>2527.9043941657342</v>
      </c>
      <c r="N51" s="3">
        <f t="shared" si="6"/>
        <v>1491.6673852554711</v>
      </c>
      <c r="O51" s="3">
        <f t="shared" si="7"/>
        <v>732.01804920815869</v>
      </c>
      <c r="P51" s="9">
        <f t="shared" si="29"/>
        <v>4751.5898286293641</v>
      </c>
      <c r="S51">
        <v>2023</v>
      </c>
      <c r="T51" s="10">
        <f t="shared" si="18"/>
        <v>0</v>
      </c>
      <c r="U51" s="19">
        <f t="shared" si="19"/>
        <v>0</v>
      </c>
      <c r="V51" s="3">
        <f t="shared" si="20"/>
        <v>0</v>
      </c>
      <c r="W51" s="3">
        <f t="shared" si="21"/>
        <v>0</v>
      </c>
      <c r="X51" s="3">
        <f t="shared" si="22"/>
        <v>0</v>
      </c>
      <c r="AA51">
        <v>2023</v>
      </c>
      <c r="AB51" s="14">
        <f t="shared" si="8"/>
        <v>0</v>
      </c>
      <c r="AC51" s="3">
        <f t="shared" si="9"/>
        <v>0</v>
      </c>
      <c r="AD51" s="3">
        <f t="shared" si="10"/>
        <v>0</v>
      </c>
      <c r="AE51" s="3">
        <f t="shared" si="11"/>
        <v>0</v>
      </c>
      <c r="AF51" s="3">
        <f t="shared" si="12"/>
        <v>0</v>
      </c>
      <c r="AG51" s="17">
        <f t="shared" si="23"/>
        <v>0</v>
      </c>
      <c r="AH51" s="3" t="e">
        <f t="shared" si="30"/>
        <v>#DIV/0!</v>
      </c>
      <c r="AJ51" s="34" t="e">
        <f t="array" ref="AJ51">SUM(T51:X51*$AJ$33:$AN$33)/SUM(T51:X51)</f>
        <v>#DIV/0!</v>
      </c>
      <c r="AL51" s="2" t="e">
        <f t="shared" si="13"/>
        <v>#DIV/0!</v>
      </c>
      <c r="AM51" s="3" t="e">
        <f t="shared" si="24"/>
        <v>#DIV/0!</v>
      </c>
      <c r="AN51" s="3" t="e">
        <f t="shared" si="14"/>
        <v>#DIV/0!</v>
      </c>
      <c r="AP51">
        <v>14</v>
      </c>
      <c r="AQ51" s="2">
        <f t="shared" ca="1" si="15"/>
        <v>8.3363464302674402</v>
      </c>
      <c r="AR51" s="2">
        <f t="shared" ca="1" si="25"/>
        <v>6.6136070332500889</v>
      </c>
      <c r="AS51" s="2">
        <f t="shared" ca="1" si="26"/>
        <v>6.6845322443363377</v>
      </c>
      <c r="AT51" s="2">
        <f t="shared" ca="1" si="27"/>
        <v>7.5775199126744228</v>
      </c>
      <c r="AU51" s="2">
        <f t="shared" ca="1" si="28"/>
        <v>6.7831980855246004</v>
      </c>
    </row>
    <row r="52" spans="2:47" x14ac:dyDescent="0.2">
      <c r="B52">
        <v>2024</v>
      </c>
      <c r="C52" s="10">
        <f t="shared" si="2"/>
        <v>2041468911.8637192</v>
      </c>
      <c r="D52" s="19">
        <f t="shared" si="16"/>
        <v>55780527.847147569</v>
      </c>
      <c r="E52" s="3">
        <f t="shared" si="17"/>
        <v>22678667.431556445</v>
      </c>
      <c r="F52" s="3">
        <f t="shared" si="17"/>
        <v>9220454.6531060692</v>
      </c>
      <c r="G52" s="3">
        <f t="shared" si="17"/>
        <v>3748752.7467891141</v>
      </c>
      <c r="J52">
        <v>2024</v>
      </c>
      <c r="K52" s="14">
        <f t="shared" si="3"/>
        <v>8271.0504966991193</v>
      </c>
      <c r="L52" s="3">
        <f t="shared" si="4"/>
        <v>2745.6011810135883</v>
      </c>
      <c r="M52" s="3">
        <f t="shared" si="5"/>
        <v>2527.9053394544781</v>
      </c>
      <c r="N52" s="3">
        <f t="shared" si="6"/>
        <v>1491.6691218068506</v>
      </c>
      <c r="O52" s="3">
        <f t="shared" si="7"/>
        <v>732.02041142244389</v>
      </c>
      <c r="P52" s="9">
        <f t="shared" si="29"/>
        <v>4751.5948726837723</v>
      </c>
      <c r="S52">
        <v>2024</v>
      </c>
      <c r="T52" s="10">
        <f t="shared" si="18"/>
        <v>0</v>
      </c>
      <c r="U52" s="19">
        <f t="shared" si="19"/>
        <v>0</v>
      </c>
      <c r="V52" s="3">
        <f t="shared" si="20"/>
        <v>0</v>
      </c>
      <c r="W52" s="3">
        <f t="shared" si="21"/>
        <v>0</v>
      </c>
      <c r="X52" s="3">
        <f t="shared" si="22"/>
        <v>0</v>
      </c>
      <c r="AA52">
        <v>2024</v>
      </c>
      <c r="AB52" s="14">
        <f t="shared" si="8"/>
        <v>0</v>
      </c>
      <c r="AC52" s="3">
        <f t="shared" si="9"/>
        <v>0</v>
      </c>
      <c r="AD52" s="3">
        <f t="shared" si="10"/>
        <v>0</v>
      </c>
      <c r="AE52" s="3">
        <f t="shared" si="11"/>
        <v>0</v>
      </c>
      <c r="AF52" s="3">
        <f t="shared" si="12"/>
        <v>0</v>
      </c>
      <c r="AG52" s="17">
        <f t="shared" si="23"/>
        <v>0</v>
      </c>
      <c r="AH52" s="3" t="e">
        <f t="shared" si="30"/>
        <v>#DIV/0!</v>
      </c>
      <c r="AJ52" s="34" t="e">
        <f t="array" ref="AJ52">SUM(T52:X52*$AJ$33:$AN$33)/SUM(T52:X52)</f>
        <v>#DIV/0!</v>
      </c>
      <c r="AL52" s="2" t="e">
        <f t="shared" si="13"/>
        <v>#DIV/0!</v>
      </c>
      <c r="AM52" s="3" t="e">
        <f t="shared" si="24"/>
        <v>#DIV/0!</v>
      </c>
      <c r="AN52" s="3" t="e">
        <f t="shared" si="14"/>
        <v>#DIV/0!</v>
      </c>
      <c r="AP52">
        <v>15</v>
      </c>
      <c r="AQ52" s="2">
        <f t="shared" ca="1" si="15"/>
        <v>8.0167864368658659</v>
      </c>
      <c r="AR52" s="2">
        <f t="shared" ca="1" si="25"/>
        <v>7.991005932405348</v>
      </c>
      <c r="AS52" s="2">
        <f t="shared" ca="1" si="26"/>
        <v>6.2989950359365032</v>
      </c>
      <c r="AT52" s="2">
        <f t="shared" ca="1" si="27"/>
        <v>7.2289110080193861</v>
      </c>
      <c r="AU52" s="2">
        <f t="shared" ca="1" si="28"/>
        <v>6.8764627294505987</v>
      </c>
    </row>
    <row r="53" spans="2:47" x14ac:dyDescent="0.2">
      <c r="B53">
        <v>2025</v>
      </c>
      <c r="C53" s="10">
        <f t="shared" si="2"/>
        <v>2041468937.9130354</v>
      </c>
      <c r="D53" s="19">
        <f t="shared" si="16"/>
        <v>55780529.932540625</v>
      </c>
      <c r="E53" s="3">
        <f t="shared" si="17"/>
        <v>22678670.2269658</v>
      </c>
      <c r="F53" s="3">
        <f t="shared" si="17"/>
        <v>9220458.1010181103</v>
      </c>
      <c r="G53" s="3">
        <f t="shared" si="17"/>
        <v>3748757.1109669586</v>
      </c>
      <c r="J53">
        <v>2025</v>
      </c>
      <c r="K53" s="14">
        <f t="shared" si="3"/>
        <v>8271.0506022384252</v>
      </c>
      <c r="L53" s="3">
        <f t="shared" si="4"/>
        <v>2745.6012836597602</v>
      </c>
      <c r="M53" s="3">
        <f t="shared" si="5"/>
        <v>2527.9056510481932</v>
      </c>
      <c r="N53" s="3">
        <f t="shared" si="6"/>
        <v>1491.6696796040653</v>
      </c>
      <c r="O53" s="3">
        <f t="shared" si="7"/>
        <v>732.02126361715409</v>
      </c>
      <c r="P53" s="9">
        <f t="shared" si="29"/>
        <v>4751.5965942694129</v>
      </c>
      <c r="S53">
        <v>2025</v>
      </c>
      <c r="T53" s="10">
        <f t="shared" si="18"/>
        <v>0</v>
      </c>
      <c r="U53" s="19">
        <f t="shared" si="19"/>
        <v>0</v>
      </c>
      <c r="V53" s="3">
        <f t="shared" si="20"/>
        <v>0</v>
      </c>
      <c r="W53" s="3">
        <f t="shared" si="21"/>
        <v>0</v>
      </c>
      <c r="X53" s="3">
        <f t="shared" si="22"/>
        <v>0</v>
      </c>
      <c r="AA53">
        <v>2025</v>
      </c>
      <c r="AB53" s="14">
        <f t="shared" si="8"/>
        <v>0</v>
      </c>
      <c r="AC53" s="3">
        <f t="shared" si="9"/>
        <v>0</v>
      </c>
      <c r="AD53" s="3">
        <f t="shared" si="10"/>
        <v>0</v>
      </c>
      <c r="AE53" s="3">
        <f t="shared" si="11"/>
        <v>0</v>
      </c>
      <c r="AF53" s="3">
        <f t="shared" si="12"/>
        <v>0</v>
      </c>
      <c r="AG53" s="17">
        <f t="shared" si="23"/>
        <v>0</v>
      </c>
      <c r="AH53" s="3" t="e">
        <f t="shared" si="30"/>
        <v>#DIV/0!</v>
      </c>
      <c r="AJ53" s="34" t="e">
        <f t="array" ref="AJ53">SUM(T53:X53*$AJ$33:$AN$33)/SUM(T53:X53)</f>
        <v>#DIV/0!</v>
      </c>
      <c r="AL53" s="2" t="e">
        <f t="shared" si="13"/>
        <v>#DIV/0!</v>
      </c>
      <c r="AM53" s="3" t="e">
        <f t="shared" si="24"/>
        <v>#DIV/0!</v>
      </c>
      <c r="AN53" s="3" t="e">
        <f t="shared" si="14"/>
        <v>#DIV/0!</v>
      </c>
      <c r="AP53">
        <v>16</v>
      </c>
      <c r="AQ53" s="2">
        <f t="shared" ca="1" si="15"/>
        <v>7.7148221257204117</v>
      </c>
      <c r="AR53" s="2">
        <f t="shared" ca="1" si="25"/>
        <v>8.237401362902796</v>
      </c>
      <c r="AS53" s="2">
        <f t="shared" ca="1" si="26"/>
        <v>9.0317754847134992</v>
      </c>
      <c r="AT53" s="2">
        <f t="shared" ca="1" si="27"/>
        <v>7.2645777948394041</v>
      </c>
      <c r="AU53" s="2">
        <f t="shared" ca="1" si="28"/>
        <v>7.4337537175939774</v>
      </c>
    </row>
    <row r="54" spans="2:47" x14ac:dyDescent="0.2">
      <c r="B54">
        <v>2026</v>
      </c>
      <c r="C54" s="10">
        <f t="shared" si="2"/>
        <v>2041468946.2669542</v>
      </c>
      <c r="D54" s="19">
        <f t="shared" si="16"/>
        <v>55780530.644304909</v>
      </c>
      <c r="E54" s="3">
        <f t="shared" si="17"/>
        <v>22678671.074823346</v>
      </c>
      <c r="F54" s="3">
        <f t="shared" si="17"/>
        <v>9220459.2375467401</v>
      </c>
      <c r="G54" s="3">
        <f t="shared" si="17"/>
        <v>3748758.5127833835</v>
      </c>
      <c r="J54">
        <v>2026</v>
      </c>
      <c r="K54" s="14">
        <f t="shared" si="3"/>
        <v>8271.0506360844884</v>
      </c>
      <c r="L54" s="3">
        <f t="shared" si="4"/>
        <v>2745.6013186938649</v>
      </c>
      <c r="M54" s="3">
        <f t="shared" si="5"/>
        <v>2527.9057455556695</v>
      </c>
      <c r="N54" s="3">
        <f t="shared" si="6"/>
        <v>1491.6698634696913</v>
      </c>
      <c r="O54" s="3">
        <f t="shared" si="7"/>
        <v>732.02153735039451</v>
      </c>
      <c r="P54" s="9">
        <f t="shared" si="29"/>
        <v>4751.5971463757551</v>
      </c>
      <c r="S54">
        <v>2026</v>
      </c>
      <c r="T54" s="10">
        <f t="shared" si="18"/>
        <v>0</v>
      </c>
      <c r="U54" s="19">
        <f t="shared" si="19"/>
        <v>0</v>
      </c>
      <c r="V54" s="3">
        <f t="shared" si="20"/>
        <v>0</v>
      </c>
      <c r="W54" s="3">
        <f t="shared" si="21"/>
        <v>0</v>
      </c>
      <c r="X54" s="3">
        <f t="shared" si="22"/>
        <v>0</v>
      </c>
      <c r="AA54">
        <v>2026</v>
      </c>
      <c r="AB54" s="14">
        <f t="shared" si="8"/>
        <v>0</v>
      </c>
      <c r="AC54" s="3">
        <f t="shared" si="9"/>
        <v>0</v>
      </c>
      <c r="AD54" s="3">
        <f t="shared" si="10"/>
        <v>0</v>
      </c>
      <c r="AE54" s="3">
        <f t="shared" si="11"/>
        <v>0</v>
      </c>
      <c r="AF54" s="3">
        <f t="shared" si="12"/>
        <v>0</v>
      </c>
      <c r="AG54" s="17">
        <f t="shared" si="23"/>
        <v>0</v>
      </c>
      <c r="AH54" s="3" t="e">
        <f t="shared" si="30"/>
        <v>#DIV/0!</v>
      </c>
      <c r="AJ54" s="34" t="e">
        <f t="array" ref="AJ54">SUM(T54:X54*$AJ$33:$AN$33)/SUM(T54:X54)</f>
        <v>#DIV/0!</v>
      </c>
      <c r="AL54" s="2" t="e">
        <f t="shared" si="13"/>
        <v>#DIV/0!</v>
      </c>
      <c r="AM54" s="3" t="e">
        <f t="shared" si="24"/>
        <v>#DIV/0!</v>
      </c>
      <c r="AN54" s="3" t="e">
        <f t="shared" si="14"/>
        <v>#DIV/0!</v>
      </c>
      <c r="AP54">
        <v>17</v>
      </c>
      <c r="AQ54" s="2">
        <f t="shared" ca="1" si="15"/>
        <v>7.1087722871495229</v>
      </c>
      <c r="AR54" s="2">
        <f t="shared" ca="1" si="25"/>
        <v>7.7711937469231565</v>
      </c>
      <c r="AS54" s="2">
        <f t="shared" ca="1" si="26"/>
        <v>8.4861428968299943</v>
      </c>
      <c r="AT54" s="2">
        <f t="shared" ca="1" si="27"/>
        <v>6.8127827716568499</v>
      </c>
      <c r="AU54" s="2">
        <f t="shared" ca="1" si="28"/>
        <v>7.8200540396369433</v>
      </c>
    </row>
    <row r="55" spans="2:47" x14ac:dyDescent="0.2">
      <c r="B55">
        <v>2027</v>
      </c>
      <c r="C55" s="10">
        <f t="shared" si="2"/>
        <v>2041468948.9641073</v>
      </c>
      <c r="D55" s="19">
        <f t="shared" si="16"/>
        <v>55780530.872565068</v>
      </c>
      <c r="E55" s="3">
        <f t="shared" si="17"/>
        <v>22678671.364205107</v>
      </c>
      <c r="F55" s="3">
        <f t="shared" si="17"/>
        <v>9220459.5822598953</v>
      </c>
      <c r="G55" s="3">
        <f t="shared" si="17"/>
        <v>3748758.9748614421</v>
      </c>
      <c r="J55">
        <v>2027</v>
      </c>
      <c r="K55" s="14">
        <f t="shared" si="3"/>
        <v>8271.0506470120527</v>
      </c>
      <c r="L55" s="3">
        <f t="shared" si="4"/>
        <v>2745.6013299291722</v>
      </c>
      <c r="M55" s="3">
        <f t="shared" si="5"/>
        <v>2527.9057778119609</v>
      </c>
      <c r="N55" s="3">
        <f t="shared" si="6"/>
        <v>1491.6699192367862</v>
      </c>
      <c r="O55" s="3">
        <f t="shared" si="7"/>
        <v>732.02162758055726</v>
      </c>
      <c r="P55" s="9">
        <f t="shared" si="29"/>
        <v>4751.5973246293042</v>
      </c>
      <c r="S55">
        <v>2027</v>
      </c>
      <c r="T55" s="10">
        <f t="shared" si="18"/>
        <v>0</v>
      </c>
      <c r="U55" s="19">
        <f t="shared" si="19"/>
        <v>0</v>
      </c>
      <c r="V55" s="3">
        <f t="shared" si="20"/>
        <v>0</v>
      </c>
      <c r="W55" s="3">
        <f t="shared" si="21"/>
        <v>0</v>
      </c>
      <c r="X55" s="3">
        <f t="shared" si="22"/>
        <v>0</v>
      </c>
      <c r="AA55">
        <v>2027</v>
      </c>
      <c r="AB55" s="14">
        <f t="shared" si="8"/>
        <v>0</v>
      </c>
      <c r="AC55" s="3">
        <f t="shared" si="9"/>
        <v>0</v>
      </c>
      <c r="AD55" s="3">
        <f t="shared" si="10"/>
        <v>0</v>
      </c>
      <c r="AE55" s="3">
        <f t="shared" si="11"/>
        <v>0</v>
      </c>
      <c r="AF55" s="3">
        <f t="shared" si="12"/>
        <v>0</v>
      </c>
      <c r="AG55" s="17">
        <f t="shared" si="23"/>
        <v>0</v>
      </c>
      <c r="AH55" s="3" t="e">
        <f t="shared" si="30"/>
        <v>#DIV/0!</v>
      </c>
      <c r="AJ55" s="34" t="e">
        <f t="array" ref="AJ55">SUM(T55:X55*$AJ$33:$AN$33)/SUM(T55:X55)</f>
        <v>#DIV/0!</v>
      </c>
      <c r="AL55" s="2" t="e">
        <f t="shared" si="13"/>
        <v>#DIV/0!</v>
      </c>
      <c r="AM55" s="3" t="e">
        <f t="shared" si="24"/>
        <v>#DIV/0!</v>
      </c>
      <c r="AN55" s="3" t="e">
        <f t="shared" si="14"/>
        <v>#DIV/0!</v>
      </c>
      <c r="AP55">
        <v>18</v>
      </c>
      <c r="AQ55" s="2">
        <f t="shared" ca="1" si="15"/>
        <v>8.4355565895417453</v>
      </c>
      <c r="AR55" s="2">
        <f t="shared" ca="1" si="25"/>
        <v>6.6216939036754576</v>
      </c>
      <c r="AS55" s="2">
        <f t="shared" ca="1" si="26"/>
        <v>7.3881540477442016</v>
      </c>
      <c r="AT55" s="2">
        <f t="shared" ca="1" si="27"/>
        <v>8.7048615660551523</v>
      </c>
      <c r="AU55" s="2">
        <f t="shared" ca="1" si="28"/>
        <v>7.4970561012439703</v>
      </c>
    </row>
    <row r="56" spans="2:47" x14ac:dyDescent="0.2">
      <c r="B56">
        <v>2028</v>
      </c>
      <c r="C56" s="10">
        <f t="shared" si="2"/>
        <v>2041468949.8227222</v>
      </c>
      <c r="D56" s="19">
        <f t="shared" si="16"/>
        <v>55780530.946261331</v>
      </c>
      <c r="E56" s="3">
        <f t="shared" si="17"/>
        <v>22678671.457008764</v>
      </c>
      <c r="F56" s="3">
        <f t="shared" si="17"/>
        <v>9220459.6999137383</v>
      </c>
      <c r="G56" s="3">
        <f t="shared" si="17"/>
        <v>3748759.1150113521</v>
      </c>
      <c r="J56">
        <v>2028</v>
      </c>
      <c r="K56" s="14">
        <f t="shared" si="3"/>
        <v>8271.0506504907498</v>
      </c>
      <c r="L56" s="3">
        <f t="shared" si="4"/>
        <v>2745.6013335566126</v>
      </c>
      <c r="M56" s="3">
        <f t="shared" si="5"/>
        <v>2527.9057881564336</v>
      </c>
      <c r="N56" s="3">
        <f t="shared" si="6"/>
        <v>1491.6699382706204</v>
      </c>
      <c r="O56" s="3">
        <f t="shared" si="7"/>
        <v>732.02165494768485</v>
      </c>
      <c r="P56" s="9">
        <f t="shared" si="29"/>
        <v>4751.5973813747387</v>
      </c>
      <c r="S56">
        <v>2028</v>
      </c>
      <c r="T56" s="10">
        <f t="shared" si="18"/>
        <v>0</v>
      </c>
      <c r="U56" s="19">
        <f t="shared" si="19"/>
        <v>0</v>
      </c>
      <c r="V56" s="3">
        <f t="shared" si="20"/>
        <v>0</v>
      </c>
      <c r="W56" s="3">
        <f t="shared" si="21"/>
        <v>0</v>
      </c>
      <c r="X56" s="3">
        <f t="shared" si="22"/>
        <v>0</v>
      </c>
      <c r="AA56">
        <v>2028</v>
      </c>
      <c r="AB56" s="14">
        <f t="shared" si="8"/>
        <v>0</v>
      </c>
      <c r="AC56" s="3">
        <f t="shared" si="9"/>
        <v>0</v>
      </c>
      <c r="AD56" s="3">
        <f t="shared" si="10"/>
        <v>0</v>
      </c>
      <c r="AE56" s="3">
        <f t="shared" si="11"/>
        <v>0</v>
      </c>
      <c r="AF56" s="3">
        <f t="shared" si="12"/>
        <v>0</v>
      </c>
      <c r="AG56" s="17">
        <f t="shared" si="23"/>
        <v>0</v>
      </c>
      <c r="AH56" s="3" t="e">
        <f t="shared" si="30"/>
        <v>#DIV/0!</v>
      </c>
      <c r="AJ56" s="34" t="e">
        <f t="array" ref="AJ56">SUM(T56:X56*$AJ$33:$AN$33)/SUM(T56:X56)</f>
        <v>#DIV/0!</v>
      </c>
      <c r="AL56" s="2" t="e">
        <f t="shared" si="13"/>
        <v>#DIV/0!</v>
      </c>
      <c r="AM56" s="3" t="e">
        <f t="shared" si="24"/>
        <v>#DIV/0!</v>
      </c>
      <c r="AN56" s="3" t="e">
        <f t="shared" si="14"/>
        <v>#DIV/0!</v>
      </c>
      <c r="AP56">
        <v>19</v>
      </c>
      <c r="AQ56" s="2">
        <f t="shared" ca="1" si="15"/>
        <v>5.9213834557248202</v>
      </c>
      <c r="AR56" s="2">
        <f t="shared" ca="1" si="25"/>
        <v>7.2771465512660551</v>
      </c>
      <c r="AS56" s="2">
        <f t="shared" ca="1" si="26"/>
        <v>9.6054571514827511</v>
      </c>
      <c r="AT56" s="2">
        <f t="shared" ca="1" si="27"/>
        <v>8.3759955956533929</v>
      </c>
      <c r="AU56" s="2">
        <f t="shared" ca="1" si="28"/>
        <v>7.068601757990483</v>
      </c>
    </row>
    <row r="57" spans="2:47" x14ac:dyDescent="0.2">
      <c r="B57">
        <v>2029</v>
      </c>
      <c r="C57" s="10">
        <f t="shared" si="2"/>
        <v>2041468950.1069512</v>
      </c>
      <c r="D57" s="19">
        <f t="shared" si="16"/>
        <v>55780530.969721884</v>
      </c>
      <c r="E57" s="3">
        <f t="shared" si="17"/>
        <v>22678671.486971427</v>
      </c>
      <c r="F57" s="3">
        <f t="shared" si="17"/>
        <v>9220459.7376448903</v>
      </c>
      <c r="G57" s="3">
        <f t="shared" si="17"/>
        <v>3748759.1628458351</v>
      </c>
      <c r="J57">
        <v>2029</v>
      </c>
      <c r="K57" s="14">
        <f t="shared" si="3"/>
        <v>8271.0506516423084</v>
      </c>
      <c r="L57" s="3">
        <f t="shared" si="4"/>
        <v>2745.6013347113762</v>
      </c>
      <c r="M57" s="3">
        <f t="shared" si="5"/>
        <v>2527.9057914962582</v>
      </c>
      <c r="N57" s="3">
        <f t="shared" si="6"/>
        <v>1491.6699443747004</v>
      </c>
      <c r="O57" s="3">
        <f t="shared" si="7"/>
        <v>732.021664288343</v>
      </c>
      <c r="P57" s="9">
        <f t="shared" si="29"/>
        <v>4751.5974001593022</v>
      </c>
      <c r="S57">
        <v>2029</v>
      </c>
      <c r="T57" s="10">
        <f t="shared" si="18"/>
        <v>0</v>
      </c>
      <c r="U57" s="19">
        <f t="shared" si="19"/>
        <v>0</v>
      </c>
      <c r="V57" s="3">
        <f t="shared" si="20"/>
        <v>0</v>
      </c>
      <c r="W57" s="3">
        <f t="shared" si="21"/>
        <v>0</v>
      </c>
      <c r="X57" s="3">
        <f t="shared" si="22"/>
        <v>0</v>
      </c>
      <c r="AA57">
        <v>2029</v>
      </c>
      <c r="AB57" s="14">
        <f t="shared" si="8"/>
        <v>0</v>
      </c>
      <c r="AC57" s="3">
        <f t="shared" si="9"/>
        <v>0</v>
      </c>
      <c r="AD57" s="3">
        <f t="shared" si="10"/>
        <v>0</v>
      </c>
      <c r="AE57" s="3">
        <f t="shared" si="11"/>
        <v>0</v>
      </c>
      <c r="AF57" s="3">
        <f t="shared" si="12"/>
        <v>0</v>
      </c>
      <c r="AG57" s="17">
        <f t="shared" si="23"/>
        <v>0</v>
      </c>
      <c r="AH57" s="3" t="e">
        <f t="shared" si="30"/>
        <v>#DIV/0!</v>
      </c>
      <c r="AJ57" s="34" t="e">
        <f t="array" ref="AJ57">SUM(T57:X57*$AJ$33:$AN$33)/SUM(T57:X57)</f>
        <v>#DIV/0!</v>
      </c>
      <c r="AL57" s="2" t="e">
        <f t="shared" si="13"/>
        <v>#DIV/0!</v>
      </c>
      <c r="AM57" s="3" t="e">
        <f t="shared" si="24"/>
        <v>#DIV/0!</v>
      </c>
      <c r="AN57" s="3" t="e">
        <f t="shared" si="14"/>
        <v>#DIV/0!</v>
      </c>
      <c r="AP57">
        <v>20</v>
      </c>
      <c r="AQ57" s="2">
        <f t="shared" ca="1" si="15"/>
        <v>8.5864484613517185</v>
      </c>
      <c r="AR57" s="2">
        <f t="shared" ca="1" si="25"/>
        <v>7.8775931924156932</v>
      </c>
      <c r="AS57" s="2">
        <f t="shared" ca="1" si="26"/>
        <v>8.3540660839763934</v>
      </c>
      <c r="AT57" s="2">
        <f t="shared" ca="1" si="27"/>
        <v>8.1243072410731383</v>
      </c>
      <c r="AU57" s="2">
        <f t="shared" ca="1" si="28"/>
        <v>8.2147474987393192</v>
      </c>
    </row>
    <row r="58" spans="2:47" x14ac:dyDescent="0.2">
      <c r="B58">
        <v>2030</v>
      </c>
      <c r="C58" s="10">
        <f t="shared" si="2"/>
        <v>2041468950.1981833</v>
      </c>
      <c r="D58" s="19">
        <f t="shared" si="16"/>
        <v>55780530.977488078</v>
      </c>
      <c r="E58" s="3">
        <f t="shared" si="17"/>
        <v>22678671.496509776</v>
      </c>
      <c r="F58" s="3">
        <f t="shared" si="17"/>
        <v>9220459.7498268001</v>
      </c>
      <c r="G58" s="3">
        <f t="shared" si="17"/>
        <v>3748759.1781861768</v>
      </c>
      <c r="J58">
        <v>2030</v>
      </c>
      <c r="K58" s="14">
        <f t="shared" si="3"/>
        <v>8271.0506520119379</v>
      </c>
      <c r="L58" s="3">
        <f t="shared" si="4"/>
        <v>2745.60133509364</v>
      </c>
      <c r="M58" s="3">
        <f t="shared" si="5"/>
        <v>2527.905792559462</v>
      </c>
      <c r="N58" s="3">
        <f t="shared" si="6"/>
        <v>1491.6699463454686</v>
      </c>
      <c r="O58" s="3">
        <f t="shared" si="7"/>
        <v>732.02166728385748</v>
      </c>
      <c r="P58" s="9">
        <f t="shared" si="29"/>
        <v>4751.5974061887882</v>
      </c>
      <c r="S58">
        <v>2030</v>
      </c>
      <c r="T58" s="10">
        <f t="shared" si="18"/>
        <v>0</v>
      </c>
      <c r="U58" s="19">
        <f t="shared" si="19"/>
        <v>0</v>
      </c>
      <c r="V58" s="3">
        <f t="shared" si="20"/>
        <v>0</v>
      </c>
      <c r="W58" s="3">
        <f t="shared" si="21"/>
        <v>0</v>
      </c>
      <c r="X58" s="3">
        <f t="shared" si="22"/>
        <v>0</v>
      </c>
      <c r="AA58">
        <v>2030</v>
      </c>
      <c r="AB58" s="14">
        <f t="shared" si="8"/>
        <v>0</v>
      </c>
      <c r="AC58" s="3">
        <f t="shared" si="9"/>
        <v>0</v>
      </c>
      <c r="AD58" s="3">
        <f t="shared" si="10"/>
        <v>0</v>
      </c>
      <c r="AE58" s="3">
        <f t="shared" si="11"/>
        <v>0</v>
      </c>
      <c r="AF58" s="3">
        <f t="shared" si="12"/>
        <v>0</v>
      </c>
      <c r="AG58" s="17">
        <f t="shared" si="23"/>
        <v>0</v>
      </c>
      <c r="AH58" s="3" t="e">
        <f t="shared" si="30"/>
        <v>#DIV/0!</v>
      </c>
      <c r="AJ58" s="34" t="e">
        <f t="array" ref="AJ58">SUM(T58:X58*$AJ$33:$AN$33)/SUM(T58:X58)</f>
        <v>#DIV/0!</v>
      </c>
      <c r="AL58" s="2" t="e">
        <f t="shared" si="13"/>
        <v>#DIV/0!</v>
      </c>
      <c r="AM58" s="3" t="e">
        <f t="shared" si="24"/>
        <v>#DIV/0!</v>
      </c>
      <c r="AN58" s="3" t="e">
        <f t="shared" si="14"/>
        <v>#DIV/0!</v>
      </c>
      <c r="AP58">
        <v>21</v>
      </c>
      <c r="AQ58" s="2">
        <f t="shared" ca="1" si="15"/>
        <v>8.9027678314177141</v>
      </c>
      <c r="AR58" s="2">
        <f t="shared" ca="1" si="25"/>
        <v>6.967578733315217</v>
      </c>
      <c r="AS58" s="2">
        <f t="shared" ca="1" si="26"/>
        <v>8.8468152809662346</v>
      </c>
      <c r="AT58" s="2">
        <f t="shared" ca="1" si="27"/>
        <v>6.5467558272191617</v>
      </c>
      <c r="AU58" s="2">
        <f t="shared" ca="1" si="28"/>
        <v>7.6976218181859135</v>
      </c>
    </row>
    <row r="59" spans="2:47" x14ac:dyDescent="0.2">
      <c r="B59">
        <v>2031</v>
      </c>
      <c r="C59" s="10">
        <f>D60*EXP(4*M+C$34)</f>
        <v>2041468950.2276356</v>
      </c>
      <c r="D59" s="19">
        <f t="shared" si="16"/>
        <v>55780530.979980879</v>
      </c>
      <c r="E59" s="3">
        <f t="shared" si="17"/>
        <v>22678671.499667276</v>
      </c>
      <c r="F59" s="3">
        <f t="shared" si="17"/>
        <v>9220459.7537048031</v>
      </c>
      <c r="G59" s="3">
        <f t="shared" si="17"/>
        <v>3748759.1831389717</v>
      </c>
      <c r="J59">
        <v>2031</v>
      </c>
      <c r="K59" s="14">
        <f t="shared" si="3"/>
        <v>8271.0506521312655</v>
      </c>
      <c r="L59" s="3">
        <f t="shared" si="4"/>
        <v>2745.6013352163391</v>
      </c>
      <c r="M59" s="3">
        <f t="shared" si="5"/>
        <v>2527.9057929114165</v>
      </c>
      <c r="N59" s="3">
        <f t="shared" si="6"/>
        <v>1491.6699469728451</v>
      </c>
      <c r="O59" s="3">
        <f t="shared" si="7"/>
        <v>732.02166825099164</v>
      </c>
      <c r="P59" s="9">
        <f t="shared" si="29"/>
        <v>4751.5974081352533</v>
      </c>
      <c r="S59">
        <v>2031</v>
      </c>
      <c r="T59" s="10">
        <f t="shared" si="18"/>
        <v>0</v>
      </c>
      <c r="U59" s="19">
        <f t="shared" si="19"/>
        <v>0</v>
      </c>
      <c r="V59" s="3">
        <f t="shared" si="20"/>
        <v>0</v>
      </c>
      <c r="W59" s="3">
        <f t="shared" si="21"/>
        <v>0</v>
      </c>
      <c r="X59" s="3">
        <f t="shared" si="22"/>
        <v>0</v>
      </c>
      <c r="AA59">
        <v>2031</v>
      </c>
      <c r="AB59" s="14">
        <f t="shared" si="8"/>
        <v>0</v>
      </c>
      <c r="AC59" s="3">
        <f t="shared" si="9"/>
        <v>0</v>
      </c>
      <c r="AD59" s="3">
        <f t="shared" si="10"/>
        <v>0</v>
      </c>
      <c r="AE59" s="3">
        <f t="shared" si="11"/>
        <v>0</v>
      </c>
      <c r="AF59" s="3">
        <f t="shared" si="12"/>
        <v>0</v>
      </c>
      <c r="AG59" s="17">
        <f t="shared" si="23"/>
        <v>0</v>
      </c>
      <c r="AH59" s="3" t="e">
        <f t="shared" si="30"/>
        <v>#DIV/0!</v>
      </c>
      <c r="AJ59" s="34" t="e">
        <f t="array" ref="AJ59">SUM(T59:X59*$AJ$33:$AN$33)/SUM(T59:X59)</f>
        <v>#DIV/0!</v>
      </c>
      <c r="AL59" s="2" t="e">
        <f t="shared" si="13"/>
        <v>#DIV/0!</v>
      </c>
      <c r="AM59" s="3" t="e">
        <f t="shared" si="24"/>
        <v>#DIV/0!</v>
      </c>
      <c r="AN59" s="3" t="e">
        <f t="shared" si="14"/>
        <v>#DIV/0!</v>
      </c>
      <c r="AP59">
        <v>22</v>
      </c>
      <c r="AQ59" s="2">
        <f t="shared" ca="1" si="15"/>
        <v>19.10395839651153</v>
      </c>
      <c r="AR59" s="2">
        <f t="shared" ca="1" si="25"/>
        <v>8.15197614312636</v>
      </c>
      <c r="AS59" s="2">
        <f t="shared" ca="1" si="26"/>
        <v>8.5636529102063736</v>
      </c>
      <c r="AT59" s="2">
        <f t="shared" ca="1" si="27"/>
        <v>7.7936879813608284</v>
      </c>
      <c r="AU59" s="2">
        <f t="shared" ca="1" si="28"/>
        <v>8.0415183362461597</v>
      </c>
    </row>
    <row r="60" spans="2:47" x14ac:dyDescent="0.2">
      <c r="B60">
        <v>2032</v>
      </c>
      <c r="C60" s="10">
        <f t="shared" si="2"/>
        <v>2041468950.2371454</v>
      </c>
      <c r="D60" s="19">
        <f t="shared" si="16"/>
        <v>55780530.980785623</v>
      </c>
      <c r="E60" s="3">
        <f t="shared" si="17"/>
        <v>22678671.500680774</v>
      </c>
      <c r="F60" s="3">
        <f t="shared" si="17"/>
        <v>9220459.7549885474</v>
      </c>
      <c r="G60" s="3">
        <f t="shared" si="17"/>
        <v>3748759.18471565</v>
      </c>
      <c r="J60">
        <v>2032</v>
      </c>
      <c r="K60" s="14">
        <f t="shared" si="3"/>
        <v>8271.0506521697935</v>
      </c>
      <c r="L60" s="3">
        <f t="shared" si="4"/>
        <v>2745.6013352559498</v>
      </c>
      <c r="M60" s="3">
        <f t="shared" si="5"/>
        <v>2527.9057930243875</v>
      </c>
      <c r="N60" s="3">
        <f t="shared" si="6"/>
        <v>1491.6699471805271</v>
      </c>
      <c r="O60" s="3">
        <f t="shared" si="7"/>
        <v>732.02166855887026</v>
      </c>
      <c r="P60" s="9">
        <f t="shared" si="29"/>
        <v>4751.5974087637851</v>
      </c>
      <c r="S60">
        <v>2032</v>
      </c>
      <c r="T60" s="10">
        <f t="shared" si="18"/>
        <v>0</v>
      </c>
      <c r="U60" s="19">
        <f t="shared" si="19"/>
        <v>0</v>
      </c>
      <c r="V60" s="3">
        <f t="shared" si="20"/>
        <v>0</v>
      </c>
      <c r="W60" s="3">
        <f t="shared" si="21"/>
        <v>0</v>
      </c>
      <c r="X60" s="3">
        <f t="shared" si="22"/>
        <v>0</v>
      </c>
      <c r="AA60">
        <v>2032</v>
      </c>
      <c r="AB60" s="14">
        <f t="shared" si="8"/>
        <v>0</v>
      </c>
      <c r="AC60" s="3">
        <f t="shared" si="9"/>
        <v>0</v>
      </c>
      <c r="AD60" s="3">
        <f t="shared" si="10"/>
        <v>0</v>
      </c>
      <c r="AE60" s="3">
        <f t="shared" si="11"/>
        <v>0</v>
      </c>
      <c r="AF60" s="3">
        <f t="shared" si="12"/>
        <v>0</v>
      </c>
      <c r="AG60" s="17">
        <f t="shared" si="23"/>
        <v>0</v>
      </c>
      <c r="AH60" s="3" t="e">
        <f t="shared" si="30"/>
        <v>#DIV/0!</v>
      </c>
      <c r="AJ60" s="34" t="e">
        <f t="array" ref="AJ60">SUM(T60:X60*$AJ$33:$AN$33)/SUM(T60:X60)</f>
        <v>#DIV/0!</v>
      </c>
      <c r="AL60" s="2" t="e">
        <f t="shared" si="13"/>
        <v>#DIV/0!</v>
      </c>
      <c r="AM60" s="3" t="e">
        <f t="shared" si="24"/>
        <v>#DIV/0!</v>
      </c>
      <c r="AN60" s="3" t="e">
        <f t="shared" si="14"/>
        <v>#DIV/0!</v>
      </c>
      <c r="AP60">
        <v>23</v>
      </c>
      <c r="AQ60" s="2">
        <f t="shared" ca="1" si="15"/>
        <v>16.545209644949029</v>
      </c>
      <c r="AR60" s="2">
        <f t="shared" ca="1" si="25"/>
        <v>7.7190180068778771</v>
      </c>
      <c r="AS60" s="2">
        <f t="shared" ca="1" si="26"/>
        <v>8.0520807895110966</v>
      </c>
      <c r="AT60" s="2">
        <f t="shared" ca="1" si="27"/>
        <v>6.7044900897113102</v>
      </c>
      <c r="AU60" s="2">
        <f t="shared" ca="1" si="28"/>
        <v>7.4286232376722614</v>
      </c>
    </row>
    <row r="61" spans="2:47" x14ac:dyDescent="0.2">
      <c r="B61">
        <v>2033</v>
      </c>
      <c r="D61" s="19">
        <f t="shared" si="16"/>
        <v>55780530.98104547</v>
      </c>
      <c r="E61" s="3">
        <f t="shared" si="17"/>
        <v>22678671.501007959</v>
      </c>
      <c r="F61" s="3">
        <f t="shared" si="17"/>
        <v>9220459.7554006055</v>
      </c>
      <c r="G61" s="3">
        <f t="shared" si="17"/>
        <v>3748759.1852375814</v>
      </c>
      <c r="J61">
        <v>2033</v>
      </c>
      <c r="K61" s="15"/>
      <c r="L61" s="3">
        <f>(D61*aLW*(Lmax*(1-EXP(-(K*(L$37-t0)))))^bLW)/1000000</f>
        <v>2745.6013352687401</v>
      </c>
      <c r="M61" s="3">
        <f>(E61*aLW*(Lmax*(1-EXP(-(K*(M$37-t0)))))^bLW)/1000000</f>
        <v>2527.9057930608574</v>
      </c>
      <c r="N61" s="3">
        <f>(F61*aLW*(Lmax*(1-EXP(-(K*(N$37-t0)))))^bLW)/1000000</f>
        <v>1491.6699472471892</v>
      </c>
      <c r="O61" s="3">
        <f>(G61*aLW*(Lmax*(1-EXP(-(K*(O$37-t0)))))^bLW)/1000000</f>
        <v>732.02166866078801</v>
      </c>
      <c r="P61" s="9">
        <f t="shared" si="29"/>
        <v>4751.5974089688343</v>
      </c>
      <c r="S61">
        <v>2033</v>
      </c>
      <c r="T61" s="32">
        <f>T60</f>
        <v>0</v>
      </c>
      <c r="U61" s="19">
        <f t="shared" si="19"/>
        <v>0</v>
      </c>
      <c r="V61" s="3">
        <f t="shared" si="20"/>
        <v>0</v>
      </c>
      <c r="W61" s="3">
        <f t="shared" si="21"/>
        <v>0</v>
      </c>
      <c r="X61" s="3">
        <f t="shared" si="22"/>
        <v>0</v>
      </c>
      <c r="AA61">
        <v>2033</v>
      </c>
      <c r="AB61" s="32">
        <f>AB60</f>
        <v>0</v>
      </c>
      <c r="AC61" s="3">
        <f>(U61*aLW*(Lmax*(1-EXP(-(K*(AC$37-t0)))))^bLW)/1000000</f>
        <v>0</v>
      </c>
      <c r="AD61" s="3">
        <f>(V61*aLW*(Lmax*(1-EXP(-(K*(AD$37-t0)))))^bLW)/1000000</f>
        <v>0</v>
      </c>
      <c r="AE61" s="3">
        <f>(W61*aLW*(Lmax*(1-EXP(-(K*(AE$37-t0)))))^bLW)/1000000</f>
        <v>0</v>
      </c>
      <c r="AF61" s="3">
        <f>(X61*aLW*(Lmax*(1-EXP(-(K*(AF$37-t0)))))^bLW)/1000000</f>
        <v>0</v>
      </c>
      <c r="AG61" s="17">
        <f t="shared" si="23"/>
        <v>0</v>
      </c>
      <c r="AH61" s="3" t="e">
        <f>AG61*1000/($L$7*$L$8)</f>
        <v>#DIV/0!</v>
      </c>
      <c r="AJ61" s="34" t="e">
        <f t="array" ref="AJ61">SUM(T61:X61*$AJ$33:$AN$33)/SUM(T61:X61)</f>
        <v>#DIV/0!</v>
      </c>
      <c r="AL61" s="2" t="e">
        <f t="shared" si="13"/>
        <v>#DIV/0!</v>
      </c>
      <c r="AM61" s="3" t="e">
        <f t="shared" si="24"/>
        <v>#DIV/0!</v>
      </c>
      <c r="AN61" s="3" t="e">
        <f t="shared" si="14"/>
        <v>#DIV/0!</v>
      </c>
      <c r="AP61">
        <v>24</v>
      </c>
      <c r="AQ61" s="2">
        <f t="shared" ca="1" si="15"/>
        <v>20.951405110437751</v>
      </c>
      <c r="AR61" s="2">
        <f t="shared" ca="1" si="25"/>
        <v>7.9346794683912378</v>
      </c>
      <c r="AS61" s="2">
        <f t="shared" ca="1" si="26"/>
        <v>9.3376035831027551</v>
      </c>
      <c r="AT61" s="2">
        <f t="shared" ca="1" si="27"/>
        <v>7.3414711390014329</v>
      </c>
      <c r="AU61" s="2">
        <f t="shared" ca="1" si="28"/>
        <v>8.6633591595230541</v>
      </c>
    </row>
    <row r="62" spans="2:47" x14ac:dyDescent="0.2">
      <c r="AP62">
        <v>25</v>
      </c>
      <c r="AQ62" s="2">
        <f t="shared" ca="1" si="15"/>
        <v>20.381924480385909</v>
      </c>
      <c r="AR62" s="2">
        <f t="shared" ca="1" si="25"/>
        <v>8.0428090638149197</v>
      </c>
      <c r="AS62" s="2">
        <f t="shared" ca="1" si="26"/>
        <v>8.3375863362143949</v>
      </c>
      <c r="AT62" s="2">
        <f t="shared" ca="1" si="27"/>
        <v>6.4296997878026323</v>
      </c>
      <c r="AU62" s="2">
        <f t="shared" ca="1" si="28"/>
        <v>7.1264501517091139</v>
      </c>
    </row>
    <row r="63" spans="2:47" x14ac:dyDescent="0.2">
      <c r="C63" s="3"/>
      <c r="D63" s="19"/>
      <c r="AP63">
        <v>26</v>
      </c>
      <c r="AQ63" s="2">
        <f t="shared" ca="1" si="15"/>
        <v>21.213317908817263</v>
      </c>
      <c r="AR63" s="2">
        <f t="shared" ca="1" si="25"/>
        <v>6.9830131443700214</v>
      </c>
      <c r="AS63" s="2">
        <f t="shared" ca="1" si="26"/>
        <v>7.2429995489580792</v>
      </c>
      <c r="AT63" s="2">
        <f t="shared" ca="1" si="27"/>
        <v>7.3781002341956556</v>
      </c>
      <c r="AU63" s="2">
        <f t="shared" ca="1" si="28"/>
        <v>7.5400641280231477</v>
      </c>
    </row>
    <row r="64" spans="2:47" x14ac:dyDescent="0.2">
      <c r="AP64">
        <v>27</v>
      </c>
      <c r="AQ64" s="2">
        <f t="shared" ca="1" si="15"/>
        <v>17.793094765091567</v>
      </c>
      <c r="AR64" s="2">
        <f t="shared" ca="1" si="25"/>
        <v>6.500058480424574</v>
      </c>
      <c r="AS64" s="2">
        <f t="shared" ca="1" si="26"/>
        <v>7.9294978950876773</v>
      </c>
      <c r="AT64" s="2">
        <f t="shared" ca="1" si="27"/>
        <v>8.2718957250727634</v>
      </c>
      <c r="AU64" s="2">
        <f t="shared" ca="1" si="28"/>
        <v>7.1521289931083087</v>
      </c>
    </row>
    <row r="65" spans="1:47" x14ac:dyDescent="0.2">
      <c r="AP65">
        <v>28</v>
      </c>
      <c r="AQ65" s="2">
        <f t="shared" ca="1" si="15"/>
        <v>17.829828593372561</v>
      </c>
      <c r="AR65" s="2">
        <f t="shared" ca="1" si="25"/>
        <v>8.3234947011779319</v>
      </c>
      <c r="AS65" s="2">
        <f t="shared" ca="1" si="26"/>
        <v>7.2007378843037539</v>
      </c>
      <c r="AT65" s="2">
        <f t="shared" ca="1" si="27"/>
        <v>7.251782676841378</v>
      </c>
      <c r="AU65" s="2">
        <f t="shared" ca="1" si="28"/>
        <v>7.2464802260490124</v>
      </c>
    </row>
    <row r="66" spans="1:47" x14ac:dyDescent="0.2"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AP66">
        <v>29</v>
      </c>
      <c r="AQ66" s="2">
        <f t="shared" ca="1" si="15"/>
        <v>18.556080165223538</v>
      </c>
      <c r="AR66" s="2">
        <f t="shared" ca="1" si="25"/>
        <v>8.3270734903038672</v>
      </c>
      <c r="AS66" s="2">
        <f t="shared" ca="1" si="26"/>
        <v>7.1515759129517038</v>
      </c>
      <c r="AT66" s="2">
        <f t="shared" ca="1" si="27"/>
        <v>8.2759874557198163</v>
      </c>
      <c r="AU66" s="2">
        <f t="shared" ca="1" si="28"/>
        <v>7.1977915137575046</v>
      </c>
    </row>
    <row r="67" spans="1:47" x14ac:dyDescent="0.2">
      <c r="D67" s="3"/>
      <c r="E67" s="20"/>
      <c r="F67" s="20"/>
      <c r="G67" s="20"/>
      <c r="H67" s="20"/>
      <c r="AP67">
        <v>30</v>
      </c>
      <c r="AQ67" s="2">
        <f t="shared" ca="1" si="15"/>
        <v>18.208716802739247</v>
      </c>
      <c r="AR67" s="2">
        <f t="shared" ca="1" si="25"/>
        <v>7.1152745825869497</v>
      </c>
      <c r="AS67" s="2">
        <f t="shared" ca="1" si="26"/>
        <v>6.1664060360056947</v>
      </c>
      <c r="AT67" s="2">
        <f t="shared" ca="1" si="27"/>
        <v>7.3094109111594454</v>
      </c>
      <c r="AU67" s="2">
        <f t="shared" ca="1" si="28"/>
        <v>6.0728432418727127</v>
      </c>
    </row>
    <row r="68" spans="1:47" x14ac:dyDescent="0.2">
      <c r="AP68">
        <v>31</v>
      </c>
      <c r="AQ68" s="2">
        <f t="shared" ca="1" si="15"/>
        <v>16.794307881827063</v>
      </c>
      <c r="AR68" s="2">
        <f t="shared" ca="1" si="25"/>
        <v>7.1875365429585685</v>
      </c>
      <c r="AS68" s="2">
        <f t="shared" ca="1" si="26"/>
        <v>7.8710261417255492</v>
      </c>
      <c r="AT68" s="2">
        <f t="shared" ca="1" si="27"/>
        <v>8.139663846265119</v>
      </c>
      <c r="AU68" s="2">
        <f t="shared" ca="1" si="28"/>
        <v>7.166818239646803</v>
      </c>
    </row>
    <row r="69" spans="1:47" x14ac:dyDescent="0.2">
      <c r="AP69">
        <v>32</v>
      </c>
      <c r="AQ69" s="2">
        <f t="shared" ca="1" si="15"/>
        <v>19.049390290164752</v>
      </c>
      <c r="AR69" s="2">
        <f t="shared" ca="1" si="25"/>
        <v>9.3725855596241985</v>
      </c>
      <c r="AS69" s="2">
        <f t="shared" ca="1" si="26"/>
        <v>7.3516699958063585</v>
      </c>
      <c r="AT69" s="2">
        <f t="shared" ca="1" si="27"/>
        <v>6.4171195536052199</v>
      </c>
      <c r="AU69" s="2">
        <f t="shared" ca="1" si="28"/>
        <v>7.9685717821984792</v>
      </c>
    </row>
    <row r="70" spans="1:47" x14ac:dyDescent="0.2">
      <c r="AP70">
        <v>33</v>
      </c>
      <c r="AQ70" s="2">
        <f t="shared" ref="AQ70:AQ101" ca="1" si="31">VLOOKUP($AP70,$AS$5:$AU$9,2)+VLOOKUP($AP70,$AS$5:$AU$9,3)*SQRT(-2*LN(RAND()))*SIN(2*PI()*RAND())</f>
        <v>16.134721495990942</v>
      </c>
      <c r="AR70" s="2">
        <f t="shared" ca="1" si="25"/>
        <v>8.0362857624993911</v>
      </c>
      <c r="AS70" s="2">
        <f t="shared" ca="1" si="26"/>
        <v>8.3077222911521567</v>
      </c>
      <c r="AT70" s="2">
        <f t="shared" ca="1" si="27"/>
        <v>7.4990734487898507</v>
      </c>
      <c r="AU70" s="2">
        <f t="shared" ca="1" si="28"/>
        <v>7.4755285780990217</v>
      </c>
    </row>
    <row r="71" spans="1:47" x14ac:dyDescent="0.2">
      <c r="AP71">
        <v>34</v>
      </c>
      <c r="AQ71" s="2">
        <f t="shared" ca="1" si="31"/>
        <v>21.211819221746666</v>
      </c>
      <c r="AR71" s="2">
        <f t="shared" ca="1" si="25"/>
        <v>8.8442752162296987</v>
      </c>
      <c r="AS71" s="2">
        <f t="shared" ca="1" si="26"/>
        <v>6.7341172177250517</v>
      </c>
      <c r="AT71" s="2">
        <f t="shared" ca="1" si="27"/>
        <v>7.7995023370063379</v>
      </c>
      <c r="AU71" s="2">
        <f t="shared" ca="1" si="28"/>
        <v>7.4473744305090719</v>
      </c>
    </row>
    <row r="72" spans="1:47" x14ac:dyDescent="0.2">
      <c r="AP72">
        <v>35</v>
      </c>
      <c r="AQ72" s="2">
        <f t="shared" ca="1" si="31"/>
        <v>15.728128438285371</v>
      </c>
      <c r="AR72" s="2">
        <f t="shared" ca="1" si="25"/>
        <v>8.7824567028866927</v>
      </c>
      <c r="AS72" s="2">
        <f t="shared" ca="1" si="26"/>
        <v>7.9115568099771263</v>
      </c>
      <c r="AT72" s="2">
        <f t="shared" ca="1" si="27"/>
        <v>7.6032540812502809</v>
      </c>
      <c r="AU72" s="2">
        <f t="shared" ca="1" si="28"/>
        <v>8.3465550877613861</v>
      </c>
    </row>
    <row r="73" spans="1:47" x14ac:dyDescent="0.2">
      <c r="AP73">
        <v>36</v>
      </c>
      <c r="AQ73" s="2">
        <f t="shared" ca="1" si="31"/>
        <v>18.498593253483762</v>
      </c>
      <c r="AR73" s="2">
        <f t="shared" ca="1" si="25"/>
        <v>8.4199913494028067</v>
      </c>
      <c r="AS73" s="2">
        <f t="shared" ca="1" si="26"/>
        <v>7.7324955117450163</v>
      </c>
      <c r="AT73" s="2">
        <f t="shared" ca="1" si="27"/>
        <v>8.3120539761931553</v>
      </c>
      <c r="AU73" s="2">
        <f t="shared" ca="1" si="28"/>
        <v>8.0015941544515954</v>
      </c>
    </row>
    <row r="74" spans="1:47" ht="20.25" x14ac:dyDescent="0.3">
      <c r="A74" s="25" t="s">
        <v>48</v>
      </c>
      <c r="AP74">
        <v>37</v>
      </c>
      <c r="AQ74" s="2">
        <f t="shared" ca="1" si="31"/>
        <v>17.630791071783523</v>
      </c>
      <c r="AR74" s="2">
        <f t="shared" ca="1" si="25"/>
        <v>5.8966638224659205</v>
      </c>
      <c r="AS74" s="2">
        <f t="shared" ca="1" si="26"/>
        <v>8.225535714140122</v>
      </c>
      <c r="AT74" s="2">
        <f t="shared" ca="1" si="27"/>
        <v>7.867285253093601</v>
      </c>
      <c r="AU74" s="2">
        <f t="shared" ca="1" si="28"/>
        <v>7.1419760880990415</v>
      </c>
    </row>
    <row r="75" spans="1:47" ht="13.5" thickBot="1" x14ac:dyDescent="0.25">
      <c r="A75" t="s">
        <v>11</v>
      </c>
      <c r="B75" s="4">
        <v>0.11693707031686684</v>
      </c>
      <c r="C75" s="4">
        <v>0.24254380278080223</v>
      </c>
      <c r="D75" s="4">
        <v>0.37820940900713512</v>
      </c>
      <c r="E75" s="4">
        <v>0.52568631915904995</v>
      </c>
      <c r="F75" s="4">
        <v>0.6872289967934988</v>
      </c>
      <c r="G75" s="4">
        <v>0.86580614197625549</v>
      </c>
      <c r="H75" s="21">
        <v>1.0654384058006343</v>
      </c>
      <c r="I75" s="21">
        <v>1.2917628000794861</v>
      </c>
      <c r="J75" s="21">
        <v>1.5530351387697543</v>
      </c>
      <c r="K75" s="21">
        <v>1.862054726556118</v>
      </c>
      <c r="L75" s="4">
        <v>2.2402641355632533</v>
      </c>
      <c r="M75" s="4">
        <v>2.7278608685323738</v>
      </c>
      <c r="N75" s="21">
        <v>3.4150898653258732</v>
      </c>
      <c r="O75" s="4">
        <v>4.5899155950884927</v>
      </c>
      <c r="P75" s="4" t="e">
        <v>#NUM!</v>
      </c>
      <c r="Q75" s="4" t="e">
        <v>#NUM!</v>
      </c>
      <c r="R75" s="4" t="e">
        <v>#NUM!</v>
      </c>
      <c r="S75" s="4" t="e">
        <v>#NUM!</v>
      </c>
      <c r="T75" s="4" t="e">
        <v>#NUM!</v>
      </c>
      <c r="U75" s="4" t="e">
        <v>#NUM!</v>
      </c>
      <c r="AP75">
        <v>38</v>
      </c>
      <c r="AQ75" s="2">
        <f t="shared" ca="1" si="31"/>
        <v>18.716708030596209</v>
      </c>
      <c r="AR75" s="2">
        <f t="shared" ca="1" si="25"/>
        <v>8.1288706762897629</v>
      </c>
      <c r="AS75" s="2">
        <f t="shared" ca="1" si="26"/>
        <v>7.7191982627078621</v>
      </c>
      <c r="AT75" s="2">
        <f t="shared" ca="1" si="27"/>
        <v>7.5242855322285243</v>
      </c>
      <c r="AU75" s="2">
        <f t="shared" ca="1" si="28"/>
        <v>6.4779250399641519</v>
      </c>
    </row>
    <row r="76" spans="1:47" ht="13.5" thickBot="1" x14ac:dyDescent="0.25">
      <c r="A76" s="5" t="s">
        <v>7</v>
      </c>
      <c r="B76" s="5">
        <v>2</v>
      </c>
      <c r="C76" s="5">
        <v>4</v>
      </c>
      <c r="D76" s="5">
        <v>6</v>
      </c>
      <c r="E76" s="5">
        <v>8</v>
      </c>
      <c r="F76" s="5">
        <v>10</v>
      </c>
      <c r="G76" s="5">
        <v>12</v>
      </c>
      <c r="H76" s="5">
        <v>14</v>
      </c>
      <c r="I76" s="5">
        <v>16</v>
      </c>
      <c r="J76" s="31">
        <v>18</v>
      </c>
      <c r="K76" s="5">
        <v>20</v>
      </c>
      <c r="L76" s="5">
        <v>22</v>
      </c>
      <c r="M76" s="5">
        <v>24</v>
      </c>
      <c r="N76" s="5">
        <v>26</v>
      </c>
      <c r="O76" s="5">
        <v>28</v>
      </c>
      <c r="P76" s="5">
        <v>30</v>
      </c>
      <c r="Q76" s="5">
        <v>32</v>
      </c>
      <c r="R76" s="5">
        <v>34</v>
      </c>
      <c r="S76" s="5">
        <v>36</v>
      </c>
      <c r="T76" s="5">
        <v>38</v>
      </c>
      <c r="U76" s="5">
        <v>40</v>
      </c>
      <c r="AP76">
        <v>39</v>
      </c>
      <c r="AQ76" s="2">
        <f t="shared" ca="1" si="31"/>
        <v>20.88994172970482</v>
      </c>
      <c r="AR76" s="2">
        <f t="shared" ca="1" si="25"/>
        <v>7.7934859558658385</v>
      </c>
      <c r="AS76" s="2">
        <f t="shared" ca="1" si="26"/>
        <v>7.3423789056695776</v>
      </c>
      <c r="AT76" s="2">
        <f t="shared" ca="1" si="27"/>
        <v>7.1998214381979784</v>
      </c>
      <c r="AU76" s="2">
        <f t="shared" ca="1" si="28"/>
        <v>7.2538544870084767</v>
      </c>
    </row>
    <row r="77" spans="1:47" ht="12.75" customHeight="1" thickBot="1" x14ac:dyDescent="0.25">
      <c r="A77" t="s">
        <v>6</v>
      </c>
      <c r="B77">
        <v>0</v>
      </c>
      <c r="C77">
        <v>0</v>
      </c>
      <c r="D77">
        <v>0</v>
      </c>
      <c r="E77">
        <v>0</v>
      </c>
      <c r="F77">
        <v>0</v>
      </c>
      <c r="G77">
        <v>0.05</v>
      </c>
      <c r="H77">
        <v>0.1</v>
      </c>
      <c r="I77" s="47">
        <v>0.9</v>
      </c>
      <c r="J77" s="63">
        <v>1</v>
      </c>
      <c r="K77">
        <v>0.9</v>
      </c>
      <c r="L77">
        <v>0.6</v>
      </c>
      <c r="M77">
        <v>0.4</v>
      </c>
      <c r="N77">
        <v>0.2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AP77">
        <v>40</v>
      </c>
      <c r="AQ77" s="2">
        <f t="shared" ca="1" si="31"/>
        <v>16.148468245468344</v>
      </c>
      <c r="AR77" s="2">
        <f t="shared" ca="1" si="25"/>
        <v>9.0012431102667598</v>
      </c>
      <c r="AS77" s="2">
        <f t="shared" ca="1" si="26"/>
        <v>7.1326858274264406</v>
      </c>
      <c r="AT77" s="2">
        <f t="shared" ca="1" si="27"/>
        <v>8.661917713655102</v>
      </c>
      <c r="AU77" s="2">
        <f t="shared" ca="1" si="28"/>
        <v>8.5067260763955179</v>
      </c>
    </row>
    <row r="78" spans="1:47" x14ac:dyDescent="0.2">
      <c r="AP78">
        <v>41</v>
      </c>
      <c r="AQ78" s="2">
        <f t="shared" ca="1" si="31"/>
        <v>16.357667754108974</v>
      </c>
      <c r="AR78" s="2">
        <f t="shared" ca="1" si="25"/>
        <v>7.4324755978329504</v>
      </c>
      <c r="AS78" s="2">
        <f t="shared" ca="1" si="26"/>
        <v>7.5542927741108521</v>
      </c>
      <c r="AT78" s="2">
        <f t="shared" ca="1" si="27"/>
        <v>7.869596501840074</v>
      </c>
      <c r="AU78" s="2">
        <f t="shared" ca="1" si="28"/>
        <v>8.1291572967902308</v>
      </c>
    </row>
    <row r="79" spans="1:47" x14ac:dyDescent="0.2">
      <c r="A79" s="24" t="s">
        <v>49</v>
      </c>
      <c r="B79" s="24"/>
      <c r="C79" s="24"/>
      <c r="D79" t="s">
        <v>34</v>
      </c>
      <c r="E79">
        <v>244</v>
      </c>
      <c r="AP79">
        <v>42</v>
      </c>
      <c r="AQ79" s="2">
        <f t="shared" ca="1" si="31"/>
        <v>17.868771953371141</v>
      </c>
      <c r="AR79" s="2">
        <f t="shared" ca="1" si="25"/>
        <v>8.5471453822766748</v>
      </c>
      <c r="AS79" s="2">
        <f t="shared" ca="1" si="26"/>
        <v>8.5465602585609517</v>
      </c>
      <c r="AT79" s="2">
        <f t="shared" ca="1" si="27"/>
        <v>7.2569563967456228</v>
      </c>
      <c r="AU79" s="2">
        <f t="shared" ca="1" si="28"/>
        <v>7.4902227053977679</v>
      </c>
    </row>
    <row r="80" spans="1:47" x14ac:dyDescent="0.2">
      <c r="A80" s="24"/>
      <c r="B80" s="24"/>
      <c r="C80" s="24"/>
      <c r="D80" t="s">
        <v>37</v>
      </c>
      <c r="E80">
        <v>0</v>
      </c>
      <c r="AP80">
        <v>43</v>
      </c>
      <c r="AQ80" s="2">
        <f t="shared" ca="1" si="31"/>
        <v>18.265770785575441</v>
      </c>
      <c r="AR80" s="2">
        <f t="shared" ca="1" si="25"/>
        <v>7.7469374687883272</v>
      </c>
      <c r="AS80" s="2">
        <f t="shared" ca="1" si="26"/>
        <v>6.5310898051716659</v>
      </c>
      <c r="AT80" s="2">
        <f t="shared" ca="1" si="27"/>
        <v>8.8136287926923149</v>
      </c>
      <c r="AU80" s="2">
        <f t="shared" ca="1" si="28"/>
        <v>8.6462689011626548</v>
      </c>
    </row>
    <row r="81" spans="1:47" x14ac:dyDescent="0.2">
      <c r="A81" s="24" t="s">
        <v>21</v>
      </c>
      <c r="B81" s="24"/>
      <c r="C81" s="24"/>
      <c r="D81" t="s">
        <v>38</v>
      </c>
      <c r="E81">
        <v>0</v>
      </c>
      <c r="AP81">
        <v>44</v>
      </c>
      <c r="AQ81" s="2">
        <f t="shared" ca="1" si="31"/>
        <v>18.420478403085422</v>
      </c>
      <c r="AR81" s="2">
        <f t="shared" ca="1" si="25"/>
        <v>8.2483195498948163</v>
      </c>
      <c r="AS81" s="2">
        <f t="shared" ca="1" si="26"/>
        <v>8.1057220558060035</v>
      </c>
      <c r="AT81" s="2">
        <f t="shared" ca="1" si="27"/>
        <v>6.5474340876245911</v>
      </c>
      <c r="AU81" s="2">
        <f t="shared" ca="1" si="28"/>
        <v>7.966127371789181</v>
      </c>
    </row>
    <row r="82" spans="1:47" x14ac:dyDescent="0.2">
      <c r="A82" s="24" t="s">
        <v>23</v>
      </c>
      <c r="B82" s="24">
        <v>3.0000000000000001E-6</v>
      </c>
      <c r="C82" s="24"/>
      <c r="D82" s="22"/>
      <c r="E82" s="23"/>
      <c r="AP82">
        <v>45</v>
      </c>
      <c r="AQ82" s="2">
        <f t="shared" ca="1" si="31"/>
        <v>20.742764792840632</v>
      </c>
      <c r="AR82" s="2">
        <f t="shared" ca="1" si="25"/>
        <v>6.8779500102267717</v>
      </c>
      <c r="AS82" s="2">
        <f t="shared" ca="1" si="26"/>
        <v>7.0773463709497024</v>
      </c>
      <c r="AT82" s="2">
        <f t="shared" ca="1" si="27"/>
        <v>8.1178694400834353</v>
      </c>
      <c r="AU82" s="2">
        <f t="shared" ca="1" si="28"/>
        <v>7.5084957442991342</v>
      </c>
    </row>
    <row r="83" spans="1:47" x14ac:dyDescent="0.2">
      <c r="A83" s="24" t="s">
        <v>24</v>
      </c>
      <c r="B83" s="24">
        <v>1.7296035331190156E-8</v>
      </c>
      <c r="C83" s="24"/>
      <c r="D83" s="22"/>
      <c r="E83" s="23"/>
      <c r="AP83">
        <v>46</v>
      </c>
      <c r="AQ83" s="2">
        <f t="shared" ca="1" si="31"/>
        <v>19.779286158247753</v>
      </c>
      <c r="AR83" s="2">
        <f t="shared" ca="1" si="25"/>
        <v>8.6611527460186792</v>
      </c>
      <c r="AS83" s="2">
        <f t="shared" ca="1" si="26"/>
        <v>8.8620358748880825</v>
      </c>
      <c r="AT83" s="2">
        <f t="shared" ca="1" si="27"/>
        <v>7.6110680548179879</v>
      </c>
      <c r="AU83" s="2">
        <f t="shared" ca="1" si="28"/>
        <v>8.5151717444712602</v>
      </c>
    </row>
    <row r="84" spans="1:47" x14ac:dyDescent="0.2">
      <c r="A84" s="24" t="s">
        <v>31</v>
      </c>
      <c r="B84" s="24"/>
      <c r="C84" s="24"/>
      <c r="D84" s="22" t="s">
        <v>44</v>
      </c>
      <c r="E84" s="23">
        <v>0</v>
      </c>
      <c r="AP84">
        <v>47</v>
      </c>
      <c r="AQ84" s="2">
        <f t="shared" ca="1" si="31"/>
        <v>19.337060232462139</v>
      </c>
      <c r="AR84" s="2">
        <f t="shared" ca="1" si="25"/>
        <v>8.6966641017314856</v>
      </c>
      <c r="AS84" s="2">
        <f t="shared" ca="1" si="26"/>
        <v>8.0787281266993336</v>
      </c>
      <c r="AT84" s="2">
        <f t="shared" ca="1" si="27"/>
        <v>6.6923096830152851</v>
      </c>
      <c r="AU84" s="2">
        <f t="shared" ca="1" si="28"/>
        <v>6.6355077845110477</v>
      </c>
    </row>
    <row r="85" spans="1:47" x14ac:dyDescent="0.2">
      <c r="A85" s="24" t="s">
        <v>32</v>
      </c>
      <c r="B85" s="24">
        <v>0.9</v>
      </c>
      <c r="C85" s="24"/>
      <c r="D85" t="s">
        <v>30</v>
      </c>
      <c r="E85" s="3">
        <v>4751.5974089688343</v>
      </c>
      <c r="AP85">
        <v>48</v>
      </c>
      <c r="AQ85" s="2">
        <f t="shared" ca="1" si="31"/>
        <v>16.291785131868849</v>
      </c>
      <c r="AR85" s="2">
        <f t="shared" ca="1" si="25"/>
        <v>8.1662466456295597</v>
      </c>
      <c r="AS85" s="2">
        <f t="shared" ca="1" si="26"/>
        <v>7.7164183491260907</v>
      </c>
      <c r="AT85" s="2">
        <f t="shared" ca="1" si="27"/>
        <v>6.7772302494492163</v>
      </c>
      <c r="AU85" s="2">
        <f t="shared" ca="1" si="28"/>
        <v>7.7117673591540283</v>
      </c>
    </row>
    <row r="86" spans="1:47" x14ac:dyDescent="0.2">
      <c r="A86" s="24" t="s">
        <v>35</v>
      </c>
      <c r="B86" s="24">
        <v>2.7322404371584699E-5</v>
      </c>
      <c r="C86" s="24"/>
      <c r="D86" t="s">
        <v>45</v>
      </c>
      <c r="E86" s="3">
        <v>7497.1987442375748</v>
      </c>
      <c r="AP86">
        <v>49</v>
      </c>
      <c r="AQ86" s="2">
        <f t="shared" ca="1" si="31"/>
        <v>16.922271211155945</v>
      </c>
      <c r="AR86" s="2">
        <f t="shared" ca="1" si="25"/>
        <v>5.9243014232709719</v>
      </c>
      <c r="AS86" s="2">
        <f t="shared" ca="1" si="26"/>
        <v>8.0587189152531558</v>
      </c>
      <c r="AT86" s="2">
        <f t="shared" ca="1" si="27"/>
        <v>6.9935877490335727</v>
      </c>
      <c r="AU86" s="2">
        <f t="shared" ca="1" si="28"/>
        <v>6.4530306655023315</v>
      </c>
    </row>
    <row r="87" spans="1:47" x14ac:dyDescent="0.2">
      <c r="AP87">
        <v>50</v>
      </c>
      <c r="AQ87" s="2">
        <f t="shared" ca="1" si="31"/>
        <v>16.985611869274855</v>
      </c>
      <c r="AR87" s="2">
        <f t="shared" ca="1" si="25"/>
        <v>7.4086955012367319</v>
      </c>
      <c r="AS87" s="2">
        <f t="shared" ca="1" si="26"/>
        <v>7.1671686156773688</v>
      </c>
      <c r="AT87" s="2">
        <f t="shared" ca="1" si="27"/>
        <v>8.0926067423117374</v>
      </c>
      <c r="AU87" s="2">
        <f t="shared" ca="1" si="28"/>
        <v>7.7194821885377873</v>
      </c>
    </row>
    <row r="88" spans="1:47" x14ac:dyDescent="0.2">
      <c r="AP88">
        <v>51</v>
      </c>
      <c r="AQ88" s="2">
        <f t="shared" ca="1" si="31"/>
        <v>15.944211607134307</v>
      </c>
      <c r="AR88" s="2">
        <f t="shared" ca="1" si="25"/>
        <v>7.8796109182658602</v>
      </c>
      <c r="AS88" s="2">
        <f t="shared" ca="1" si="26"/>
        <v>6.7424515174323636</v>
      </c>
      <c r="AT88" s="2">
        <f t="shared" ca="1" si="27"/>
        <v>8.5071171402443664</v>
      </c>
      <c r="AU88" s="2">
        <f t="shared" ca="1" si="28"/>
        <v>7.3714663145167059</v>
      </c>
    </row>
    <row r="89" spans="1:47" x14ac:dyDescent="0.2">
      <c r="AP89">
        <v>52</v>
      </c>
      <c r="AQ89" s="2">
        <f t="shared" ca="1" si="31"/>
        <v>16.335705022705024</v>
      </c>
      <c r="AR89" s="2">
        <f t="shared" ca="1" si="25"/>
        <v>7.2617954711865549</v>
      </c>
      <c r="AS89" s="2">
        <f t="shared" ca="1" si="26"/>
        <v>7.0618113110453136</v>
      </c>
      <c r="AT89" s="2">
        <f t="shared" ca="1" si="27"/>
        <v>8.155086542730885</v>
      </c>
      <c r="AU89" s="2">
        <f t="shared" ca="1" si="28"/>
        <v>7.2475203304727769</v>
      </c>
    </row>
    <row r="90" spans="1:47" x14ac:dyDescent="0.2">
      <c r="A90" s="24" t="s">
        <v>50</v>
      </c>
      <c r="B90" s="24"/>
      <c r="C90" s="24"/>
      <c r="D90" s="6" t="s">
        <v>34</v>
      </c>
      <c r="E90" s="6">
        <v>244</v>
      </c>
      <c r="AP90">
        <v>53</v>
      </c>
      <c r="AQ90" s="2">
        <f t="shared" ca="1" si="31"/>
        <v>16.331318817230017</v>
      </c>
      <c r="AR90" s="2">
        <f t="shared" ca="1" si="25"/>
        <v>6.5781196522776586</v>
      </c>
      <c r="AS90" s="2">
        <f t="shared" ca="1" si="26"/>
        <v>8.1377267530526609</v>
      </c>
      <c r="AT90" s="2">
        <f t="shared" ca="1" si="27"/>
        <v>8.1319263954235339</v>
      </c>
      <c r="AU90" s="2">
        <f t="shared" ca="1" si="28"/>
        <v>7.9368328721880408</v>
      </c>
    </row>
    <row r="91" spans="1:47" x14ac:dyDescent="0.2">
      <c r="A91" s="24" t="s">
        <v>51</v>
      </c>
      <c r="B91" s="24"/>
      <c r="C91" s="24"/>
      <c r="D91" s="6" t="s">
        <v>37</v>
      </c>
      <c r="E91" s="6">
        <v>300</v>
      </c>
      <c r="AP91">
        <v>54</v>
      </c>
      <c r="AQ91" s="2">
        <f t="shared" ca="1" si="31"/>
        <v>17.558623074746549</v>
      </c>
      <c r="AR91" s="2">
        <f t="shared" ca="1" si="25"/>
        <v>6.7755833124606859</v>
      </c>
      <c r="AS91" s="2">
        <f t="shared" ca="1" si="26"/>
        <v>7.8497799824779868</v>
      </c>
      <c r="AT91" s="2">
        <f t="shared" ca="1" si="27"/>
        <v>8.3985589218679753</v>
      </c>
      <c r="AU91" s="2">
        <f t="shared" ca="1" si="28"/>
        <v>6.9412217530160802</v>
      </c>
    </row>
    <row r="92" spans="1:47" x14ac:dyDescent="0.2">
      <c r="A92" s="24" t="s">
        <v>65</v>
      </c>
      <c r="B92" s="24"/>
      <c r="C92" s="24"/>
      <c r="D92" s="6" t="s">
        <v>38</v>
      </c>
      <c r="E92" s="6">
        <v>2</v>
      </c>
      <c r="AP92">
        <v>55</v>
      </c>
      <c r="AQ92" s="2">
        <f t="shared" ca="1" si="31"/>
        <v>17.31758804651535</v>
      </c>
      <c r="AR92" s="2">
        <f t="shared" ca="1" si="25"/>
        <v>6.4703251442793892</v>
      </c>
      <c r="AS92" s="2">
        <f t="shared" ca="1" si="26"/>
        <v>8.2673181166542573</v>
      </c>
      <c r="AT92" s="2">
        <f t="shared" ca="1" si="27"/>
        <v>7.6977443384673885</v>
      </c>
      <c r="AU92" s="2">
        <f t="shared" ca="1" si="28"/>
        <v>7.7336049391107071</v>
      </c>
    </row>
    <row r="93" spans="1:47" x14ac:dyDescent="0.2">
      <c r="A93" s="24"/>
      <c r="B93" s="24"/>
      <c r="C93" s="24"/>
      <c r="AP93">
        <v>56</v>
      </c>
      <c r="AQ93" s="2">
        <f t="shared" ca="1" si="31"/>
        <v>18.304694870472431</v>
      </c>
      <c r="AR93" s="2">
        <f t="shared" ca="1" si="25"/>
        <v>6.5303139690721475</v>
      </c>
      <c r="AS93" s="2">
        <f t="shared" ca="1" si="26"/>
        <v>8.2536074647671356</v>
      </c>
      <c r="AT93" s="2">
        <f t="shared" ca="1" si="27"/>
        <v>5.836481285462094</v>
      </c>
      <c r="AU93" s="2">
        <f t="shared" ca="1" si="28"/>
        <v>6.8722588740272244</v>
      </c>
    </row>
    <row r="94" spans="1:47" x14ac:dyDescent="0.2">
      <c r="A94" s="24" t="s">
        <v>66</v>
      </c>
      <c r="B94" s="24"/>
      <c r="C94" s="24"/>
      <c r="AP94">
        <v>57</v>
      </c>
      <c r="AQ94" s="2">
        <f t="shared" ca="1" si="31"/>
        <v>15.056059639723278</v>
      </c>
      <c r="AR94" s="2">
        <f t="shared" ca="1" si="25"/>
        <v>8.2129168477799244</v>
      </c>
      <c r="AS94" s="2">
        <f t="shared" ca="1" si="26"/>
        <v>8.3602098531118489</v>
      </c>
      <c r="AT94" s="2">
        <f t="shared" ca="1" si="27"/>
        <v>9.8917034620779294</v>
      </c>
      <c r="AU94" s="2">
        <f t="shared" ca="1" si="28"/>
        <v>7.540869923126337</v>
      </c>
    </row>
    <row r="95" spans="1:47" x14ac:dyDescent="0.2">
      <c r="A95" s="24"/>
      <c r="B95" s="24"/>
      <c r="C95" s="24"/>
      <c r="D95" s="6" t="s">
        <v>44</v>
      </c>
      <c r="E95" s="3">
        <v>1509.2600613297561</v>
      </c>
      <c r="AP95">
        <v>58</v>
      </c>
      <c r="AQ95" s="2">
        <f t="shared" ca="1" si="31"/>
        <v>15.499593068648299</v>
      </c>
      <c r="AR95" s="2">
        <f t="shared" ca="1" si="25"/>
        <v>8.5563117096784147</v>
      </c>
      <c r="AS95" s="2">
        <f t="shared" ca="1" si="26"/>
        <v>7.5867339674608791</v>
      </c>
      <c r="AT95" s="2">
        <f t="shared" ca="1" si="27"/>
        <v>7.0747287050891501</v>
      </c>
      <c r="AU95" s="2">
        <f t="shared" ca="1" si="28"/>
        <v>8.1881596264592709</v>
      </c>
    </row>
    <row r="96" spans="1:47" x14ac:dyDescent="0.2">
      <c r="A96" s="24"/>
      <c r="B96" s="24"/>
      <c r="C96" s="24"/>
      <c r="D96" s="6" t="s">
        <v>30</v>
      </c>
      <c r="E96" s="3">
        <v>618.47632076803438</v>
      </c>
      <c r="AP96">
        <v>59</v>
      </c>
      <c r="AQ96" s="2">
        <f t="shared" ca="1" si="31"/>
        <v>21.243142847867727</v>
      </c>
      <c r="AR96" s="2">
        <f t="shared" ca="1" si="25"/>
        <v>6.8692307778243515</v>
      </c>
      <c r="AS96" s="2">
        <f t="shared" ca="1" si="26"/>
        <v>8.1004798608625102</v>
      </c>
      <c r="AT96" s="2">
        <f t="shared" ca="1" si="27"/>
        <v>9.4541380755877711</v>
      </c>
      <c r="AU96" s="2">
        <f t="shared" ca="1" si="28"/>
        <v>8.1216927485945689</v>
      </c>
    </row>
    <row r="97" spans="1:47" x14ac:dyDescent="0.2">
      <c r="A97" s="24"/>
      <c r="B97" s="24"/>
      <c r="C97" s="24"/>
      <c r="D97" s="6" t="s">
        <v>45</v>
      </c>
      <c r="E97" s="3">
        <v>2841.0004465355287</v>
      </c>
      <c r="AP97">
        <v>60</v>
      </c>
      <c r="AQ97" s="2">
        <f t="shared" ca="1" si="31"/>
        <v>16.533912037096304</v>
      </c>
      <c r="AR97" s="2">
        <f t="shared" ca="1" si="25"/>
        <v>7.331667275276085</v>
      </c>
      <c r="AS97" s="2">
        <f t="shared" ca="1" si="26"/>
        <v>6.8528224434404565</v>
      </c>
      <c r="AT97" s="2">
        <f t="shared" ca="1" si="27"/>
        <v>8.478119512359342</v>
      </c>
      <c r="AU97" s="2">
        <f t="shared" ca="1" si="28"/>
        <v>6.6482613944662505</v>
      </c>
    </row>
    <row r="98" spans="1:47" x14ac:dyDescent="0.2">
      <c r="AP98">
        <v>61</v>
      </c>
      <c r="AQ98" s="2">
        <f t="shared" ca="1" si="31"/>
        <v>20.069379495609265</v>
      </c>
      <c r="AR98" s="2">
        <f t="shared" ca="1" si="25"/>
        <v>7.6144263366860301</v>
      </c>
      <c r="AS98" s="2">
        <f t="shared" ca="1" si="26"/>
        <v>7.866793155158387</v>
      </c>
      <c r="AT98" s="2">
        <f t="shared" ca="1" si="27"/>
        <v>7.2020208060557227</v>
      </c>
      <c r="AU98" s="2">
        <f t="shared" ca="1" si="28"/>
        <v>8.1429187365346145</v>
      </c>
    </row>
    <row r="99" spans="1:47" x14ac:dyDescent="0.2">
      <c r="AP99">
        <v>62</v>
      </c>
      <c r="AQ99" s="2">
        <f t="shared" ca="1" si="31"/>
        <v>18.969659671287872</v>
      </c>
      <c r="AR99" s="2">
        <f t="shared" ca="1" si="25"/>
        <v>8.3739727517566234</v>
      </c>
      <c r="AS99" s="2">
        <f t="shared" ca="1" si="26"/>
        <v>7.5792516732774606</v>
      </c>
      <c r="AT99" s="2">
        <f t="shared" ca="1" si="27"/>
        <v>7.064787424051894</v>
      </c>
      <c r="AU99" s="2">
        <f t="shared" ca="1" si="28"/>
        <v>8.2819827950510039</v>
      </c>
    </row>
    <row r="100" spans="1:47" x14ac:dyDescent="0.2">
      <c r="AP100">
        <v>63</v>
      </c>
      <c r="AQ100" s="2">
        <f t="shared" ca="1" si="31"/>
        <v>17.364201057833295</v>
      </c>
      <c r="AR100" s="2">
        <f t="shared" ca="1" si="25"/>
        <v>7.9169135420696417</v>
      </c>
      <c r="AS100" s="2">
        <f t="shared" ca="1" si="26"/>
        <v>7.9149933630390983</v>
      </c>
      <c r="AT100" s="2">
        <f t="shared" ca="1" si="27"/>
        <v>7.6900838936447569</v>
      </c>
      <c r="AU100" s="2">
        <f t="shared" ca="1" si="28"/>
        <v>7.1326652731496072</v>
      </c>
    </row>
    <row r="101" spans="1:47" x14ac:dyDescent="0.2">
      <c r="AP101">
        <v>64</v>
      </c>
      <c r="AQ101" s="2">
        <f t="shared" ca="1" si="31"/>
        <v>19.375853977225571</v>
      </c>
      <c r="AR101" s="2">
        <f t="shared" ca="1" si="25"/>
        <v>7.9607649332701147</v>
      </c>
      <c r="AS101" s="2">
        <f t="shared" ca="1" si="26"/>
        <v>6.8216875736747493</v>
      </c>
      <c r="AT101" s="2">
        <f t="shared" ca="1" si="27"/>
        <v>8.3758191841341887</v>
      </c>
      <c r="AU101" s="2">
        <f t="shared" ca="1" si="28"/>
        <v>6.619729770061781</v>
      </c>
    </row>
    <row r="102" spans="1:47" x14ac:dyDescent="0.2">
      <c r="AP102">
        <v>65</v>
      </c>
      <c r="AQ102" s="2">
        <f t="shared" ref="AQ102:AQ137" ca="1" si="32">VLOOKUP($AP102,$AS$5:$AU$9,2)+VLOOKUP($AP102,$AS$5:$AU$9,3)*SQRT(-2*LN(RAND()))*SIN(2*PI()*RAND())</f>
        <v>18.264513402278066</v>
      </c>
      <c r="AR102" s="2">
        <f t="shared" ca="1" si="25"/>
        <v>7.1514003963033081</v>
      </c>
      <c r="AS102" s="2">
        <f t="shared" ca="1" si="26"/>
        <v>7.4019574569874633</v>
      </c>
      <c r="AT102" s="2">
        <f t="shared" ca="1" si="27"/>
        <v>7.2097854983178395</v>
      </c>
      <c r="AU102" s="2">
        <f t="shared" ca="1" si="28"/>
        <v>8.1527079043542141</v>
      </c>
    </row>
    <row r="103" spans="1:47" x14ac:dyDescent="0.2">
      <c r="AP103">
        <v>66</v>
      </c>
      <c r="AQ103" s="2">
        <f t="shared" ca="1" si="32"/>
        <v>18.985704038184842</v>
      </c>
      <c r="AR103" s="2">
        <f t="shared" ref="AR103:AR137" ca="1" si="33">VLOOKUP($AP103,$AS$13:$AU$17,2)+VLOOKUP($AP103,$AS$13:$AU$17,3)*SQRT(-2*LN(RAND()))*SIN(2*PI()*RAND())</f>
        <v>7.3696401918832253</v>
      </c>
      <c r="AS103" s="2">
        <f t="shared" ref="AS103:AS137" ca="1" si="34">VLOOKUP($AP103,$AS$21:$AU$25,2)+VLOOKUP($AP103,$AS$21:$AU$25,3)*SQRT(-2*LN(RAND()))*SIN(2*PI()*RAND())</f>
        <v>9.6527588814934298</v>
      </c>
      <c r="AT103" s="2">
        <f t="shared" ref="AT103:AT137" ca="1" si="35">VLOOKUP($AP103,$AS$29:$AU$33,2)+VLOOKUP($AP103,$AS$29:$AU$33,3)*SQRT(-2*LN(RAND()))*SIN(2*PI()*RAND())</f>
        <v>7.7932256811768887</v>
      </c>
      <c r="AU103" s="2">
        <f t="shared" ref="AU103:AU137" ca="1" si="36">VLOOKUP($AP103,$AZ$5:$BB$9,2)+VLOOKUP($AP103,$AZ$5:$BB$9,3)*SQRT(-2*LN(RAND()))*SIN(2*PI()*RAND())</f>
        <v>7.3415210280178682</v>
      </c>
    </row>
    <row r="104" spans="1:47" x14ac:dyDescent="0.2">
      <c r="AP104">
        <v>67</v>
      </c>
      <c r="AQ104" s="2">
        <f t="shared" ca="1" si="32"/>
        <v>19.651476959867693</v>
      </c>
      <c r="AR104" s="2">
        <f t="shared" ca="1" si="33"/>
        <v>8.0048234219740522</v>
      </c>
      <c r="AS104" s="2">
        <f t="shared" ca="1" si="34"/>
        <v>8.7093421303221561</v>
      </c>
      <c r="AT104" s="2">
        <f t="shared" ca="1" si="35"/>
        <v>8.5382609220100907</v>
      </c>
      <c r="AU104" s="2">
        <f t="shared" ca="1" si="36"/>
        <v>7.4169418735567518</v>
      </c>
    </row>
    <row r="105" spans="1:47" x14ac:dyDescent="0.2">
      <c r="AP105">
        <v>68</v>
      </c>
      <c r="AQ105" s="2">
        <f t="shared" ca="1" si="32"/>
        <v>16.644317890090019</v>
      </c>
      <c r="AR105" s="2">
        <f t="shared" ca="1" si="33"/>
        <v>5.7815770968430051</v>
      </c>
      <c r="AS105" s="2">
        <f t="shared" ca="1" si="34"/>
        <v>7.5729380042198313</v>
      </c>
      <c r="AT105" s="2">
        <f t="shared" ca="1" si="35"/>
        <v>8.4049343607863118</v>
      </c>
      <c r="AU105" s="2">
        <f t="shared" ca="1" si="36"/>
        <v>9.1774350291426767</v>
      </c>
    </row>
    <row r="106" spans="1:47" x14ac:dyDescent="0.2">
      <c r="AP106">
        <v>69</v>
      </c>
      <c r="AQ106" s="2">
        <f t="shared" ca="1" si="32"/>
        <v>17.179969647324505</v>
      </c>
      <c r="AR106" s="2">
        <f t="shared" ca="1" si="33"/>
        <v>8.2423608700738882</v>
      </c>
      <c r="AS106" s="2">
        <f t="shared" ca="1" si="34"/>
        <v>8.787501544922554</v>
      </c>
      <c r="AT106" s="2">
        <f t="shared" ca="1" si="35"/>
        <v>9.4084604461103165</v>
      </c>
      <c r="AU106" s="2">
        <f t="shared" ca="1" si="36"/>
        <v>7.36263733535292</v>
      </c>
    </row>
    <row r="107" spans="1:47" x14ac:dyDescent="0.2">
      <c r="AP107">
        <v>70</v>
      </c>
      <c r="AQ107" s="2">
        <f t="shared" ca="1" si="32"/>
        <v>17.043555366956248</v>
      </c>
      <c r="AR107" s="2">
        <f t="shared" ca="1" si="33"/>
        <v>7.4152423669697072</v>
      </c>
      <c r="AS107" s="2">
        <f t="shared" ca="1" si="34"/>
        <v>7.8744091548156945</v>
      </c>
      <c r="AT107" s="2">
        <f t="shared" ca="1" si="35"/>
        <v>7.1307009379818167</v>
      </c>
      <c r="AU107" s="2">
        <f t="shared" ca="1" si="36"/>
        <v>7.1912156611582621</v>
      </c>
    </row>
    <row r="108" spans="1:47" x14ac:dyDescent="0.2">
      <c r="AP108">
        <v>71</v>
      </c>
      <c r="AQ108" s="2">
        <f t="shared" ca="1" si="32"/>
        <v>16.36820557588981</v>
      </c>
      <c r="AR108" s="2">
        <f t="shared" ca="1" si="33"/>
        <v>9.0715590769601953</v>
      </c>
      <c r="AS108" s="2">
        <f t="shared" ca="1" si="34"/>
        <v>6.7414444547230152</v>
      </c>
      <c r="AT108" s="2">
        <f t="shared" ca="1" si="35"/>
        <v>7.8005204037289166</v>
      </c>
      <c r="AU108" s="2">
        <f t="shared" ca="1" si="36"/>
        <v>8.6811349888586928</v>
      </c>
    </row>
    <row r="109" spans="1:47" x14ac:dyDescent="0.2">
      <c r="AP109">
        <v>72</v>
      </c>
      <c r="AQ109" s="2">
        <f t="shared" ca="1" si="32"/>
        <v>16.81506361429831</v>
      </c>
      <c r="AR109" s="2">
        <f t="shared" ca="1" si="33"/>
        <v>7.1755407345369235</v>
      </c>
      <c r="AS109" s="2">
        <f t="shared" ca="1" si="34"/>
        <v>7.0136197265056719</v>
      </c>
      <c r="AT109" s="2">
        <f t="shared" ca="1" si="35"/>
        <v>7.8189122386378545</v>
      </c>
      <c r="AU109" s="2">
        <f t="shared" ca="1" si="36"/>
        <v>6.3179164179048373</v>
      </c>
    </row>
    <row r="110" spans="1:47" x14ac:dyDescent="0.2">
      <c r="AP110">
        <v>73</v>
      </c>
      <c r="AQ110" s="2">
        <f t="shared" ca="1" si="32"/>
        <v>18.550807562301269</v>
      </c>
      <c r="AR110" s="2">
        <f t="shared" ca="1" si="33"/>
        <v>8.0678470847782009</v>
      </c>
      <c r="AS110" s="2">
        <f t="shared" ca="1" si="34"/>
        <v>7.9822144469192109</v>
      </c>
      <c r="AT110" s="2">
        <f t="shared" ca="1" si="35"/>
        <v>9.2707359083177785</v>
      </c>
      <c r="AU110" s="2">
        <f t="shared" ca="1" si="36"/>
        <v>6.911422567268696</v>
      </c>
    </row>
    <row r="111" spans="1:47" x14ac:dyDescent="0.2">
      <c r="AP111">
        <v>74</v>
      </c>
      <c r="AQ111" s="2">
        <f t="shared" ca="1" si="32"/>
        <v>17.202325733112492</v>
      </c>
      <c r="AR111" s="2">
        <f t="shared" ca="1" si="33"/>
        <v>7.5645402810947129</v>
      </c>
      <c r="AS111" s="2">
        <f t="shared" ca="1" si="34"/>
        <v>6.7624047103267495</v>
      </c>
      <c r="AT111" s="2">
        <f t="shared" ca="1" si="35"/>
        <v>7.2992746939331621</v>
      </c>
      <c r="AU111" s="2">
        <f t="shared" ca="1" si="36"/>
        <v>7.4331733828090378</v>
      </c>
    </row>
    <row r="112" spans="1:47" x14ac:dyDescent="0.2">
      <c r="AP112">
        <v>75</v>
      </c>
      <c r="AQ112" s="2">
        <f t="shared" ca="1" si="32"/>
        <v>14.909262945162586</v>
      </c>
      <c r="AR112" s="2">
        <f t="shared" ca="1" si="33"/>
        <v>7.6398458368834445</v>
      </c>
      <c r="AS112" s="2">
        <f t="shared" ca="1" si="34"/>
        <v>8.592605719788418</v>
      </c>
      <c r="AT112" s="2">
        <f t="shared" ca="1" si="35"/>
        <v>8.1864026415415907</v>
      </c>
      <c r="AU112" s="2">
        <f t="shared" ca="1" si="36"/>
        <v>6.2012189724926987</v>
      </c>
    </row>
    <row r="113" spans="1:47" x14ac:dyDescent="0.2">
      <c r="AP113">
        <v>76</v>
      </c>
      <c r="AQ113" s="2">
        <f t="shared" ca="1" si="32"/>
        <v>19.015274429921959</v>
      </c>
      <c r="AR113" s="2">
        <f t="shared" ca="1" si="33"/>
        <v>7.3159307102301483</v>
      </c>
      <c r="AS113" s="2">
        <f t="shared" ca="1" si="34"/>
        <v>7.9487770241688187</v>
      </c>
      <c r="AT113" s="2">
        <f t="shared" ca="1" si="35"/>
        <v>7.5885579459388914</v>
      </c>
      <c r="AU113" s="2">
        <f t="shared" ca="1" si="36"/>
        <v>8.605568097983225</v>
      </c>
    </row>
    <row r="114" spans="1:47" x14ac:dyDescent="0.2">
      <c r="AP114">
        <v>77</v>
      </c>
      <c r="AQ114" s="2">
        <f t="shared" ca="1" si="32"/>
        <v>19.370951946364212</v>
      </c>
      <c r="AR114" s="2">
        <f t="shared" ca="1" si="33"/>
        <v>10.325830434284356</v>
      </c>
      <c r="AS114" s="2">
        <f t="shared" ca="1" si="34"/>
        <v>8.6950766686634644</v>
      </c>
      <c r="AT114" s="2">
        <f t="shared" ca="1" si="35"/>
        <v>7.663414971845949</v>
      </c>
      <c r="AU114" s="2">
        <f t="shared" ca="1" si="36"/>
        <v>7.8365313383837547</v>
      </c>
    </row>
    <row r="115" spans="1:47" x14ac:dyDescent="0.2">
      <c r="AP115">
        <v>78</v>
      </c>
      <c r="AQ115" s="2">
        <f t="shared" ca="1" si="32"/>
        <v>16.431192654389701</v>
      </c>
      <c r="AR115" s="2">
        <f t="shared" ca="1" si="33"/>
        <v>8.5266119976182448</v>
      </c>
      <c r="AS115" s="2">
        <f t="shared" ca="1" si="34"/>
        <v>8.1672974255009922</v>
      </c>
      <c r="AT115" s="2">
        <f t="shared" ca="1" si="35"/>
        <v>7.1389090555179191</v>
      </c>
      <c r="AU115" s="2">
        <f t="shared" ca="1" si="36"/>
        <v>6.8730528133303945</v>
      </c>
    </row>
    <row r="116" spans="1:47" x14ac:dyDescent="0.2">
      <c r="B116" s="60" t="s">
        <v>2</v>
      </c>
      <c r="C116" s="60"/>
      <c r="AP116">
        <v>79</v>
      </c>
      <c r="AQ116" s="2">
        <f t="shared" ca="1" si="32"/>
        <v>17.182871002977151</v>
      </c>
      <c r="AR116" s="2">
        <f t="shared" ca="1" si="33"/>
        <v>8.4932230128207156</v>
      </c>
      <c r="AS116" s="2">
        <f t="shared" ca="1" si="34"/>
        <v>8.3375233079330844</v>
      </c>
      <c r="AT116" s="2">
        <f t="shared" ca="1" si="35"/>
        <v>8.306312426911326</v>
      </c>
      <c r="AU116" s="2">
        <f t="shared" ca="1" si="36"/>
        <v>7.2746824543792972</v>
      </c>
    </row>
    <row r="117" spans="1:47" x14ac:dyDescent="0.2">
      <c r="B117" s="60" t="s">
        <v>3</v>
      </c>
      <c r="C117" s="61">
        <v>3.0000000000000001E-6</v>
      </c>
      <c r="AP117">
        <v>80</v>
      </c>
      <c r="AQ117" s="2">
        <f t="shared" ca="1" si="32"/>
        <v>18.703543848833384</v>
      </c>
      <c r="AR117" s="2">
        <f t="shared" ca="1" si="33"/>
        <v>6.5772707807306245</v>
      </c>
      <c r="AS117" s="2">
        <f t="shared" ca="1" si="34"/>
        <v>7.0563619492707339</v>
      </c>
      <c r="AT117" s="2">
        <f t="shared" ca="1" si="35"/>
        <v>7.0037478580008985</v>
      </c>
      <c r="AU117" s="2">
        <f t="shared" ca="1" si="36"/>
        <v>6.7653291377546028</v>
      </c>
    </row>
    <row r="118" spans="1:47" x14ac:dyDescent="0.2">
      <c r="B118" s="60" t="s">
        <v>4</v>
      </c>
      <c r="C118" s="62">
        <v>1.7296035331190156E-8</v>
      </c>
      <c r="AP118">
        <v>81</v>
      </c>
      <c r="AQ118" s="2">
        <f t="shared" ca="1" si="32"/>
        <v>17.187308737858018</v>
      </c>
      <c r="AR118" s="2">
        <f t="shared" ca="1" si="33"/>
        <v>7.1380015457001651</v>
      </c>
      <c r="AS118" s="2">
        <f t="shared" ca="1" si="34"/>
        <v>6.0319527751787811</v>
      </c>
      <c r="AT118" s="2">
        <f t="shared" ca="1" si="35"/>
        <v>8.6240848038303426</v>
      </c>
      <c r="AU118" s="2">
        <f t="shared" ca="1" si="36"/>
        <v>8.2676983133715556</v>
      </c>
    </row>
    <row r="119" spans="1:47" x14ac:dyDescent="0.2">
      <c r="A119" t="s">
        <v>0</v>
      </c>
      <c r="C119" t="s">
        <v>1</v>
      </c>
      <c r="D119" t="s">
        <v>5</v>
      </c>
      <c r="AP119">
        <v>82</v>
      </c>
      <c r="AQ119" s="2">
        <f t="shared" ca="1" si="32"/>
        <v>14.645418548776785</v>
      </c>
      <c r="AR119" s="2">
        <f t="shared" ca="1" si="33"/>
        <v>7.5873584750816221</v>
      </c>
      <c r="AS119" s="2">
        <f t="shared" ca="1" si="34"/>
        <v>8.4324438474240981</v>
      </c>
      <c r="AT119" s="2">
        <f t="shared" ca="1" si="35"/>
        <v>8.4060362991299282</v>
      </c>
      <c r="AU119" s="2">
        <f t="shared" ca="1" si="36"/>
        <v>6.9011943711688586</v>
      </c>
    </row>
    <row r="120" spans="1:47" x14ac:dyDescent="0.2">
      <c r="A120">
        <v>0</v>
      </c>
      <c r="C120" s="3">
        <f>A120/($C$117+$C$118*A120)</f>
        <v>0</v>
      </c>
      <c r="D120" s="1">
        <f t="shared" ref="D120:D129" si="37">C120*(0.009*17.6^3)/1000000</f>
        <v>0</v>
      </c>
      <c r="AP120">
        <v>83</v>
      </c>
      <c r="AQ120" s="2">
        <f t="shared" ca="1" si="32"/>
        <v>19.293151728232854</v>
      </c>
      <c r="AR120" s="2">
        <f t="shared" ca="1" si="33"/>
        <v>7.0840260346114254</v>
      </c>
      <c r="AS120" s="2">
        <f t="shared" ca="1" si="34"/>
        <v>8.5178013739965195</v>
      </c>
      <c r="AT120" s="2">
        <f t="shared" ca="1" si="35"/>
        <v>6.5508155838550994</v>
      </c>
      <c r="AU120" s="2">
        <f t="shared" ca="1" si="36"/>
        <v>7.6564367974990857</v>
      </c>
    </row>
    <row r="121" spans="1:47" x14ac:dyDescent="0.2">
      <c r="A121">
        <v>100</v>
      </c>
      <c r="C121" s="3">
        <f>A121/($C$117+$C$118*A121)</f>
        <v>21143421.282513574</v>
      </c>
      <c r="D121" s="1">
        <f t="shared" si="37"/>
        <v>1037.4227703530707</v>
      </c>
      <c r="AP121">
        <v>84</v>
      </c>
      <c r="AQ121" s="2">
        <f t="shared" ca="1" si="32"/>
        <v>18.348771220308343</v>
      </c>
      <c r="AR121" s="2">
        <f t="shared" ca="1" si="33"/>
        <v>6.4944127935457576</v>
      </c>
      <c r="AS121" s="2">
        <f t="shared" ca="1" si="34"/>
        <v>6.053631757679943</v>
      </c>
      <c r="AT121" s="2">
        <f t="shared" ca="1" si="35"/>
        <v>6.7420295529304948</v>
      </c>
      <c r="AU121" s="2">
        <f t="shared" ca="1" si="36"/>
        <v>8.8458058411418854</v>
      </c>
    </row>
    <row r="122" spans="1:47" x14ac:dyDescent="0.2">
      <c r="A122">
        <v>200</v>
      </c>
      <c r="C122" s="3">
        <f t="shared" ref="C122:C131" si="38">A122/($C$117+$C$118*A122)</f>
        <v>30963552.948378216</v>
      </c>
      <c r="D122" s="1">
        <f t="shared" si="37"/>
        <v>1519.2571935482788</v>
      </c>
      <c r="AP122">
        <v>85</v>
      </c>
      <c r="AQ122" s="2">
        <f t="shared" ca="1" si="32"/>
        <v>17.961279274859304</v>
      </c>
      <c r="AR122" s="2">
        <f t="shared" ca="1" si="33"/>
        <v>7.9085188072956969</v>
      </c>
      <c r="AS122" s="2">
        <f t="shared" ca="1" si="34"/>
        <v>7.1045236663922937</v>
      </c>
      <c r="AT122" s="2">
        <f t="shared" ca="1" si="35"/>
        <v>8.5806146729629997</v>
      </c>
      <c r="AU122" s="2">
        <f t="shared" ca="1" si="36"/>
        <v>7.8874928372346567</v>
      </c>
    </row>
    <row r="123" spans="1:47" x14ac:dyDescent="0.2">
      <c r="A123">
        <v>500</v>
      </c>
      <c r="C123" s="3">
        <f t="shared" si="38"/>
        <v>42925759.073739849</v>
      </c>
      <c r="D123" s="1">
        <f t="shared" si="37"/>
        <v>2106.1946078999749</v>
      </c>
      <c r="AP123">
        <v>86</v>
      </c>
      <c r="AQ123" s="2">
        <f t="shared" ca="1" si="32"/>
        <v>19.962475657834876</v>
      </c>
      <c r="AR123" s="2">
        <f t="shared" ca="1" si="33"/>
        <v>8.0475538973792045</v>
      </c>
      <c r="AS123" s="2">
        <f t="shared" ca="1" si="34"/>
        <v>6.7233150286638761</v>
      </c>
      <c r="AT123" s="2">
        <f t="shared" ca="1" si="35"/>
        <v>7.9996920538979808</v>
      </c>
      <c r="AU123" s="2">
        <f t="shared" ca="1" si="36"/>
        <v>7.4433177578684182</v>
      </c>
    </row>
    <row r="124" spans="1:47" x14ac:dyDescent="0.2">
      <c r="A124">
        <v>800</v>
      </c>
      <c r="C124" s="3">
        <f t="shared" si="38"/>
        <v>47514887.448563918</v>
      </c>
      <c r="D124" s="1">
        <f t="shared" si="37"/>
        <v>2331.3647073130387</v>
      </c>
      <c r="AP124">
        <v>87</v>
      </c>
      <c r="AQ124" s="2">
        <f t="shared" ca="1" si="32"/>
        <v>19.211191712662508</v>
      </c>
      <c r="AR124" s="2">
        <f t="shared" ca="1" si="33"/>
        <v>8.0261970678966446</v>
      </c>
      <c r="AS124" s="2">
        <f t="shared" ca="1" si="34"/>
        <v>6.5477344510623023</v>
      </c>
      <c r="AT124" s="2">
        <f t="shared" ca="1" si="35"/>
        <v>7.1008719345696285</v>
      </c>
      <c r="AU124" s="2">
        <f t="shared" ca="1" si="36"/>
        <v>7.2599412594429484</v>
      </c>
    </row>
    <row r="125" spans="1:47" x14ac:dyDescent="0.2">
      <c r="A125">
        <v>1000</v>
      </c>
      <c r="C125" s="3">
        <f t="shared" si="38"/>
        <v>49270706.504104219</v>
      </c>
      <c r="D125" s="1">
        <f t="shared" si="37"/>
        <v>2417.5156969990744</v>
      </c>
      <c r="AP125">
        <v>88</v>
      </c>
      <c r="AQ125" s="2">
        <f t="shared" ca="1" si="32"/>
        <v>15.56503121266867</v>
      </c>
      <c r="AR125" s="2">
        <f t="shared" ca="1" si="33"/>
        <v>8.2690085422600674</v>
      </c>
      <c r="AS125" s="2">
        <f t="shared" ca="1" si="34"/>
        <v>7.7922451924038452</v>
      </c>
      <c r="AT125" s="2">
        <f t="shared" ca="1" si="35"/>
        <v>6.3692029490195932</v>
      </c>
      <c r="AU125" s="2">
        <f t="shared" ca="1" si="36"/>
        <v>6.8090771121427318</v>
      </c>
    </row>
    <row r="126" spans="1:47" x14ac:dyDescent="0.2">
      <c r="A126">
        <v>1200</v>
      </c>
      <c r="C126" s="3">
        <f t="shared" si="38"/>
        <v>50515165.449539497</v>
      </c>
      <c r="D126" s="1">
        <f t="shared" si="37"/>
        <v>2478.5762997044585</v>
      </c>
      <c r="AP126">
        <v>89</v>
      </c>
      <c r="AQ126" s="2">
        <f t="shared" ca="1" si="32"/>
        <v>20.362893459437721</v>
      </c>
      <c r="AR126" s="2">
        <f t="shared" ca="1" si="33"/>
        <v>8.7250776678098632</v>
      </c>
      <c r="AS126" s="2">
        <f t="shared" ca="1" si="34"/>
        <v>8.3357111670204294</v>
      </c>
      <c r="AT126" s="2">
        <f t="shared" ca="1" si="35"/>
        <v>7.8458134924189249</v>
      </c>
      <c r="AU126" s="2">
        <f t="shared" ca="1" si="36"/>
        <v>7.6096583986458048</v>
      </c>
    </row>
    <row r="127" spans="1:47" x14ac:dyDescent="0.2">
      <c r="A127">
        <v>1500</v>
      </c>
      <c r="C127" s="3">
        <f t="shared" si="38"/>
        <v>51824117.381439365</v>
      </c>
      <c r="D127" s="1">
        <f t="shared" si="37"/>
        <v>2542.8013142518266</v>
      </c>
      <c r="AP127">
        <v>90</v>
      </c>
      <c r="AQ127" s="2">
        <f t="shared" ca="1" si="32"/>
        <v>16.116678994076466</v>
      </c>
      <c r="AR127" s="2">
        <f t="shared" ca="1" si="33"/>
        <v>8.4071840972358114</v>
      </c>
      <c r="AS127" s="2">
        <f t="shared" ca="1" si="34"/>
        <v>8.4297904339384555</v>
      </c>
      <c r="AT127" s="2">
        <f t="shared" ca="1" si="35"/>
        <v>6.1820174225291655</v>
      </c>
      <c r="AU127" s="2">
        <f t="shared" ca="1" si="36"/>
        <v>7.5389837749291218</v>
      </c>
    </row>
    <row r="128" spans="1:47" x14ac:dyDescent="0.2">
      <c r="A128">
        <v>2000</v>
      </c>
      <c r="C128" s="3">
        <f t="shared" si="38"/>
        <v>53202709.102200888</v>
      </c>
      <c r="D128" s="1">
        <f t="shared" si="37"/>
        <v>2610.4432735652435</v>
      </c>
      <c r="AP128">
        <v>91</v>
      </c>
      <c r="AQ128" s="2">
        <f t="shared" ca="1" si="32"/>
        <v>17.249625616943746</v>
      </c>
      <c r="AR128" s="2">
        <f t="shared" ca="1" si="33"/>
        <v>7.7129017768241512</v>
      </c>
      <c r="AS128" s="2">
        <f t="shared" ca="1" si="34"/>
        <v>7.2087057454816739</v>
      </c>
      <c r="AT128" s="2">
        <f t="shared" ca="1" si="35"/>
        <v>7.2786303914655806</v>
      </c>
      <c r="AU128" s="2">
        <f t="shared" ca="1" si="36"/>
        <v>8.6289410136023204</v>
      </c>
    </row>
    <row r="129" spans="1:47" x14ac:dyDescent="0.2">
      <c r="A129">
        <v>2500</v>
      </c>
      <c r="C129" s="3">
        <f t="shared" si="38"/>
        <v>54065640.668067075</v>
      </c>
      <c r="D129" s="1">
        <f t="shared" si="37"/>
        <v>2652.783859969129</v>
      </c>
      <c r="AP129">
        <v>92</v>
      </c>
      <c r="AQ129" s="2">
        <f t="shared" ca="1" si="32"/>
        <v>18.942809045253618</v>
      </c>
      <c r="AR129" s="2">
        <f t="shared" ca="1" si="33"/>
        <v>7.5897138086217613</v>
      </c>
      <c r="AS129" s="2">
        <f t="shared" ca="1" si="34"/>
        <v>6.7506684235923196</v>
      </c>
      <c r="AT129" s="2">
        <f t="shared" ca="1" si="35"/>
        <v>7.1293203424536831</v>
      </c>
      <c r="AU129" s="2">
        <f t="shared" ca="1" si="36"/>
        <v>6.4848636789655645</v>
      </c>
    </row>
    <row r="130" spans="1:47" x14ac:dyDescent="0.2">
      <c r="A130">
        <v>3000</v>
      </c>
      <c r="C130" s="3">
        <f t="shared" si="38"/>
        <v>54656650.028175808</v>
      </c>
      <c r="D130" s="1">
        <f>C130*(0.009*17.6^3)/1000000</f>
        <v>2681.7823157760745</v>
      </c>
      <c r="AP130">
        <v>93</v>
      </c>
      <c r="AQ130" s="2">
        <f t="shared" ca="1" si="32"/>
        <v>18.600243829550578</v>
      </c>
      <c r="AR130" s="2">
        <f t="shared" ca="1" si="33"/>
        <v>6.5186386066644264</v>
      </c>
      <c r="AS130" s="2">
        <f t="shared" ca="1" si="34"/>
        <v>8.3494066113472911</v>
      </c>
      <c r="AT130" s="2">
        <f t="shared" ca="1" si="35"/>
        <v>8.5118179477172529</v>
      </c>
      <c r="AU130" s="2">
        <f t="shared" ca="1" si="36"/>
        <v>7.6530566427286475</v>
      </c>
    </row>
    <row r="131" spans="1:47" x14ac:dyDescent="0.2">
      <c r="A131">
        <v>4000</v>
      </c>
      <c r="C131" s="3">
        <f t="shared" si="38"/>
        <v>55413833.656395085</v>
      </c>
      <c r="D131" s="1">
        <f>C131*(0.009*17.6^3)/1000000</f>
        <v>2718.9342755633434</v>
      </c>
      <c r="AP131">
        <v>94</v>
      </c>
      <c r="AQ131" s="2">
        <f t="shared" ca="1" si="32"/>
        <v>21.708141505862841</v>
      </c>
      <c r="AR131" s="2">
        <f t="shared" ca="1" si="33"/>
        <v>8.309926067524227</v>
      </c>
      <c r="AS131" s="2">
        <f t="shared" ca="1" si="34"/>
        <v>7.1693579394247626</v>
      </c>
      <c r="AT131" s="2">
        <f t="shared" ca="1" si="35"/>
        <v>8.0755105106054437</v>
      </c>
      <c r="AU131" s="2">
        <f t="shared" ca="1" si="36"/>
        <v>8.725555582004656</v>
      </c>
    </row>
    <row r="132" spans="1:47" x14ac:dyDescent="0.2">
      <c r="AP132">
        <v>95</v>
      </c>
      <c r="AQ132" s="2">
        <f t="shared" ca="1" si="32"/>
        <v>22.777422068431719</v>
      </c>
      <c r="AR132" s="2">
        <f t="shared" ca="1" si="33"/>
        <v>7.0931337351250594</v>
      </c>
      <c r="AS132" s="2">
        <f t="shared" ca="1" si="34"/>
        <v>8.7532692994520218</v>
      </c>
      <c r="AT132" s="2">
        <f t="shared" ca="1" si="35"/>
        <v>7.3944135804882825</v>
      </c>
      <c r="AU132" s="2">
        <f t="shared" ca="1" si="36"/>
        <v>8.1591294076971561</v>
      </c>
    </row>
    <row r="133" spans="1:47" x14ac:dyDescent="0.2">
      <c r="AP133">
        <v>96</v>
      </c>
      <c r="AQ133" s="2">
        <f t="shared" ca="1" si="32"/>
        <v>22.886373726809683</v>
      </c>
      <c r="AR133" s="2">
        <f t="shared" ca="1" si="33"/>
        <v>8.4879014896045444</v>
      </c>
      <c r="AS133" s="2">
        <f t="shared" ca="1" si="34"/>
        <v>9.2498552353911698</v>
      </c>
      <c r="AT133" s="2">
        <f t="shared" ca="1" si="35"/>
        <v>7.7445587903157973</v>
      </c>
      <c r="AU133" s="2">
        <f t="shared" ca="1" si="36"/>
        <v>9.4473147345001038</v>
      </c>
    </row>
    <row r="134" spans="1:47" x14ac:dyDescent="0.2">
      <c r="AP134">
        <v>97</v>
      </c>
      <c r="AQ134" s="2">
        <f t="shared" ca="1" si="32"/>
        <v>20.361103017025318</v>
      </c>
      <c r="AR134" s="2">
        <f t="shared" ca="1" si="33"/>
        <v>7.4583089743085784</v>
      </c>
      <c r="AS134" s="2">
        <f t="shared" ca="1" si="34"/>
        <v>9.1656597066786745</v>
      </c>
      <c r="AT134" s="2">
        <f t="shared" ca="1" si="35"/>
        <v>6.5585791012058676</v>
      </c>
      <c r="AU134" s="2">
        <f t="shared" ca="1" si="36"/>
        <v>7.376446968473104</v>
      </c>
    </row>
    <row r="135" spans="1:47" x14ac:dyDescent="0.2">
      <c r="AP135">
        <v>98</v>
      </c>
      <c r="AQ135" s="2">
        <f t="shared" ca="1" si="32"/>
        <v>23.896127820040974</v>
      </c>
      <c r="AR135" s="2">
        <f t="shared" ca="1" si="33"/>
        <v>7.2801194100497275</v>
      </c>
      <c r="AS135" s="2">
        <f t="shared" ca="1" si="34"/>
        <v>6.3542862851587101</v>
      </c>
      <c r="AT135" s="2">
        <f t="shared" ca="1" si="35"/>
        <v>7.8830569699497044</v>
      </c>
      <c r="AU135" s="2">
        <f t="shared" ca="1" si="36"/>
        <v>6.5260301490453649</v>
      </c>
    </row>
    <row r="136" spans="1:47" x14ac:dyDescent="0.2">
      <c r="AP136">
        <v>99</v>
      </c>
      <c r="AQ136" s="2">
        <f t="shared" ca="1" si="32"/>
        <v>21.538299881870618</v>
      </c>
      <c r="AR136" s="2">
        <f t="shared" ca="1" si="33"/>
        <v>8.1115035775684063</v>
      </c>
      <c r="AS136" s="2">
        <f t="shared" ca="1" si="34"/>
        <v>6.9898822090197541</v>
      </c>
      <c r="AT136" s="2">
        <f t="shared" ca="1" si="35"/>
        <v>8.4196648714916495</v>
      </c>
      <c r="AU136" s="2">
        <f t="shared" ca="1" si="36"/>
        <v>7.9925480587708533</v>
      </c>
    </row>
    <row r="137" spans="1:47" x14ac:dyDescent="0.2">
      <c r="AP137">
        <v>100</v>
      </c>
      <c r="AQ137" s="2">
        <f t="shared" ca="1" si="32"/>
        <v>27.901542904511658</v>
      </c>
      <c r="AR137" s="2">
        <f t="shared" ca="1" si="33"/>
        <v>8.2551134694565036</v>
      </c>
      <c r="AS137" s="2">
        <f t="shared" ca="1" si="34"/>
        <v>7.165280712057891</v>
      </c>
      <c r="AT137" s="2">
        <f t="shared" ca="1" si="35"/>
        <v>7.817580989635915</v>
      </c>
      <c r="AU137" s="2">
        <f t="shared" ca="1" si="36"/>
        <v>7.5151131382984016</v>
      </c>
    </row>
    <row r="139" spans="1:47" x14ac:dyDescent="0.2">
      <c r="AP139" s="58" t="s">
        <v>76</v>
      </c>
      <c r="AQ139" s="59">
        <f ca="1">AVERAGE(AQ38:AQ137)</f>
        <v>16.177543255033999</v>
      </c>
      <c r="AR139" s="59">
        <f ca="1">AVERAGE(AR38:AR137)</f>
        <v>7.7159002999089674</v>
      </c>
      <c r="AS139" s="59">
        <f ca="1">AVERAGE(AS38:AS137)</f>
        <v>7.7184975703773606</v>
      </c>
      <c r="AT139" s="59">
        <f ca="1">AVERAGE(AT38:AT137)</f>
        <v>7.7269779883084304</v>
      </c>
      <c r="AU139" s="59">
        <f ca="1">AVERAGE(AU38:AU137)</f>
        <v>7.5220258470777592</v>
      </c>
    </row>
    <row r="140" spans="1:47" x14ac:dyDescent="0.2">
      <c r="A140" s="11" t="s">
        <v>79</v>
      </c>
      <c r="AP140" s="58" t="s">
        <v>77</v>
      </c>
      <c r="AQ140" s="59">
        <f ca="1">STDEV(AQ38:AQ137)</f>
        <v>4.8119389736784779</v>
      </c>
      <c r="AR140" s="59">
        <f ca="1">STDEV(AR38:AR137)</f>
        <v>0.80416611093110113</v>
      </c>
      <c r="AS140" s="59">
        <f ca="1">STDEV(AS38:AS137)</f>
        <v>0.85408237376061902</v>
      </c>
      <c r="AT140" s="59">
        <f ca="1">STDEV(AT38:AT137)</f>
        <v>0.82174246768389714</v>
      </c>
      <c r="AU140" s="59">
        <f ca="1">STDEV(AU38:AU137)</f>
        <v>0.72911344984839699</v>
      </c>
    </row>
    <row r="144" spans="1:47" ht="13.5" thickBot="1" x14ac:dyDescent="0.25"/>
    <row r="145" spans="4:12" x14ac:dyDescent="0.2">
      <c r="D145" s="64" t="s">
        <v>80</v>
      </c>
      <c r="E145" s="65"/>
      <c r="F145" s="66"/>
      <c r="G145" s="66"/>
      <c r="H145" s="66"/>
      <c r="I145" s="66" t="s">
        <v>81</v>
      </c>
      <c r="J145" s="66"/>
      <c r="K145" s="66"/>
      <c r="L145" s="67"/>
    </row>
    <row r="146" spans="4:12" ht="13.5" thickBot="1" x14ac:dyDescent="0.25">
      <c r="D146" s="46"/>
      <c r="E146" s="85"/>
      <c r="F146" s="47">
        <v>100</v>
      </c>
      <c r="G146" s="47">
        <v>150</v>
      </c>
      <c r="H146" s="47">
        <v>200</v>
      </c>
      <c r="I146" s="47">
        <v>250</v>
      </c>
      <c r="J146" s="100" t="s">
        <v>94</v>
      </c>
      <c r="K146" s="47">
        <v>350</v>
      </c>
      <c r="L146" s="68">
        <v>400</v>
      </c>
    </row>
    <row r="147" spans="4:12" x14ac:dyDescent="0.2">
      <c r="D147" s="69" t="s">
        <v>82</v>
      </c>
      <c r="E147" s="47" t="s">
        <v>89</v>
      </c>
      <c r="F147" s="70">
        <v>14.556531126156214</v>
      </c>
      <c r="G147" s="71">
        <v>14.195378387815751</v>
      </c>
      <c r="H147" s="71">
        <v>13.858212617329144</v>
      </c>
      <c r="I147" s="71">
        <v>13.544790166821517</v>
      </c>
      <c r="J147" s="71">
        <v>13.254252113742778</v>
      </c>
      <c r="K147" s="71">
        <v>12.985335022170432</v>
      </c>
      <c r="L147" s="72">
        <v>12.736554446145584</v>
      </c>
    </row>
    <row r="148" spans="4:12" x14ac:dyDescent="0.2">
      <c r="D148" s="69" t="s">
        <v>83</v>
      </c>
      <c r="E148" s="47" t="s">
        <v>93</v>
      </c>
      <c r="F148" s="98">
        <v>16.993170623736447</v>
      </c>
      <c r="G148" s="99">
        <v>16.653659640465762</v>
      </c>
      <c r="H148" s="99">
        <v>16.344073735610365</v>
      </c>
      <c r="I148" s="99">
        <v>16.062047296491603</v>
      </c>
      <c r="J148" s="74">
        <v>15.804817727206203</v>
      </c>
      <c r="K148" s="73">
        <v>15.569525161818433</v>
      </c>
      <c r="L148" s="75">
        <v>15.35341683725332</v>
      </c>
    </row>
    <row r="149" spans="4:12" ht="13.5" thickBot="1" x14ac:dyDescent="0.25">
      <c r="D149" s="76" t="s">
        <v>84</v>
      </c>
      <c r="E149" s="54" t="s">
        <v>90</v>
      </c>
      <c r="F149" s="95">
        <v>19.517823934715953</v>
      </c>
      <c r="G149" s="96">
        <v>19.21250931726529</v>
      </c>
      <c r="H149" s="96">
        <v>18.953116069251305</v>
      </c>
      <c r="I149" s="96">
        <v>18.734462921628069</v>
      </c>
      <c r="J149" s="96">
        <v>18.551107593808098</v>
      </c>
      <c r="K149" s="96">
        <v>18.397840681916801</v>
      </c>
      <c r="L149" s="97">
        <v>18.269944873070891</v>
      </c>
    </row>
    <row r="150" spans="4:12" x14ac:dyDescent="0.2">
      <c r="F150" s="16" t="s">
        <v>95</v>
      </c>
    </row>
    <row r="151" spans="4:12" ht="13.5" thickBot="1" x14ac:dyDescent="0.25"/>
    <row r="152" spans="4:12" x14ac:dyDescent="0.2">
      <c r="D152" s="64" t="s">
        <v>85</v>
      </c>
      <c r="E152" s="65"/>
      <c r="F152" s="66"/>
      <c r="G152" s="66"/>
      <c r="H152" s="66"/>
      <c r="I152" s="66" t="s">
        <v>81</v>
      </c>
      <c r="J152" s="66"/>
      <c r="K152" s="66"/>
      <c r="L152" s="67"/>
    </row>
    <row r="153" spans="4:12" ht="13.5" thickBot="1" x14ac:dyDescent="0.25">
      <c r="D153" s="46"/>
      <c r="E153" s="86"/>
      <c r="F153" s="47">
        <v>100</v>
      </c>
      <c r="G153" s="47">
        <v>150</v>
      </c>
      <c r="H153" s="47">
        <v>200</v>
      </c>
      <c r="I153" s="47">
        <v>250</v>
      </c>
      <c r="J153" s="100" t="s">
        <v>94</v>
      </c>
      <c r="K153" s="47">
        <v>350</v>
      </c>
      <c r="L153" s="68">
        <v>400</v>
      </c>
    </row>
    <row r="154" spans="4:12" x14ac:dyDescent="0.2">
      <c r="D154" s="69" t="s">
        <v>82</v>
      </c>
      <c r="E154" s="47" t="s">
        <v>89</v>
      </c>
      <c r="F154" s="92">
        <v>2384.0231493432207</v>
      </c>
      <c r="G154" s="88">
        <v>1676.2600823960697</v>
      </c>
      <c r="H154" s="78">
        <v>1167.5639842659623</v>
      </c>
      <c r="I154" s="78">
        <v>801.0368541290311</v>
      </c>
      <c r="J154" s="78">
        <v>536.29746364649645</v>
      </c>
      <c r="K154" s="78">
        <v>344.6224297930641</v>
      </c>
      <c r="L154" s="79">
        <v>205.59404321468185</v>
      </c>
    </row>
    <row r="155" spans="4:12" x14ac:dyDescent="0.2">
      <c r="D155" s="69" t="s">
        <v>83</v>
      </c>
      <c r="E155" s="47" t="s">
        <v>93</v>
      </c>
      <c r="F155" s="93">
        <v>2419.1517790829766</v>
      </c>
      <c r="G155" s="89">
        <v>1732.2381307815626</v>
      </c>
      <c r="H155" s="50">
        <v>1238.5402348658688</v>
      </c>
      <c r="I155" s="50">
        <v>880.46412635088814</v>
      </c>
      <c r="J155" s="81">
        <v>618.47632076803438</v>
      </c>
      <c r="K155" s="50">
        <v>425.20630776459348</v>
      </c>
      <c r="L155" s="82">
        <v>281.53936382142183</v>
      </c>
    </row>
    <row r="156" spans="4:12" ht="13.5" thickBot="1" x14ac:dyDescent="0.25">
      <c r="D156" s="76" t="s">
        <v>84</v>
      </c>
      <c r="E156" s="54" t="s">
        <v>90</v>
      </c>
      <c r="F156" s="94">
        <v>2605.2458039118983</v>
      </c>
      <c r="G156" s="90">
        <v>1977.4046111510165</v>
      </c>
      <c r="H156" s="90">
        <v>1519.4412223010477</v>
      </c>
      <c r="I156" s="53">
        <v>1177.8487454855738</v>
      </c>
      <c r="J156" s="53">
        <v>917.73610886093081</v>
      </c>
      <c r="K156" s="53">
        <v>715.97216493301073</v>
      </c>
      <c r="L156" s="84">
        <v>556.93776113474894</v>
      </c>
    </row>
    <row r="158" spans="4:12" ht="13.5" thickBot="1" x14ac:dyDescent="0.25"/>
    <row r="159" spans="4:12" x14ac:dyDescent="0.2">
      <c r="D159" s="64" t="s">
        <v>86</v>
      </c>
      <c r="E159" s="65"/>
      <c r="F159" s="66"/>
      <c r="G159" s="66"/>
      <c r="H159" s="66"/>
      <c r="I159" s="66" t="s">
        <v>81</v>
      </c>
      <c r="J159" s="66"/>
      <c r="K159" s="66"/>
      <c r="L159" s="67"/>
    </row>
    <row r="160" spans="4:12" ht="13.5" thickBot="1" x14ac:dyDescent="0.25">
      <c r="D160" s="46"/>
      <c r="E160" s="87"/>
      <c r="F160" s="47">
        <v>100</v>
      </c>
      <c r="G160" s="47">
        <v>150</v>
      </c>
      <c r="H160" s="47">
        <v>200</v>
      </c>
      <c r="I160" s="47">
        <v>250</v>
      </c>
      <c r="J160" s="100" t="s">
        <v>94</v>
      </c>
      <c r="K160" s="47">
        <v>350</v>
      </c>
      <c r="L160" s="68">
        <v>400</v>
      </c>
    </row>
    <row r="161" spans="4:12" x14ac:dyDescent="0.2">
      <c r="D161" s="69" t="s">
        <v>82</v>
      </c>
      <c r="E161" s="47" t="s">
        <v>89</v>
      </c>
      <c r="F161" s="92">
        <v>50.168837317828718</v>
      </c>
      <c r="G161" s="88">
        <v>35.274833383755677</v>
      </c>
      <c r="H161" s="78">
        <v>24.569949163846008</v>
      </c>
      <c r="I161" s="78">
        <v>16.856836155913953</v>
      </c>
      <c r="J161" s="78">
        <v>11.285721036331996</v>
      </c>
      <c r="K161" s="78">
        <v>7.252155509113301</v>
      </c>
      <c r="L161" s="79">
        <v>4.3264739733729343</v>
      </c>
    </row>
    <row r="162" spans="4:12" x14ac:dyDescent="0.2">
      <c r="D162" s="69" t="s">
        <v>83</v>
      </c>
      <c r="E162" s="47" t="s">
        <v>93</v>
      </c>
      <c r="F162" s="93">
        <v>50.908076159153545</v>
      </c>
      <c r="G162" s="89">
        <v>36.452822617457123</v>
      </c>
      <c r="H162" s="50">
        <v>26.063557131015759</v>
      </c>
      <c r="I162" s="50">
        <v>18.528285487181989</v>
      </c>
      <c r="J162" s="81">
        <v>13.015074090236412</v>
      </c>
      <c r="K162" s="50">
        <v>8.9479441869653513</v>
      </c>
      <c r="L162" s="82">
        <v>5.9246499120669576</v>
      </c>
    </row>
    <row r="163" spans="4:12" ht="13.5" thickBot="1" x14ac:dyDescent="0.25">
      <c r="D163" s="76" t="s">
        <v>84</v>
      </c>
      <c r="E163" s="54" t="s">
        <v>90</v>
      </c>
      <c r="F163" s="94">
        <v>54.824196210267225</v>
      </c>
      <c r="G163" s="90">
        <v>41.612049897959103</v>
      </c>
      <c r="H163" s="90">
        <v>31.974773196570865</v>
      </c>
      <c r="I163" s="53">
        <v>24.786379324191365</v>
      </c>
      <c r="J163" s="53">
        <v>19.312628553470766</v>
      </c>
      <c r="K163" s="53">
        <v>15.066754312563358</v>
      </c>
      <c r="L163" s="84">
        <v>11.720070730950104</v>
      </c>
    </row>
    <row r="164" spans="4:12" x14ac:dyDescent="0.2">
      <c r="F164" s="16" t="s">
        <v>92</v>
      </c>
    </row>
    <row r="166" spans="4:12" ht="13.5" thickBot="1" x14ac:dyDescent="0.25"/>
    <row r="167" spans="4:12" x14ac:dyDescent="0.2">
      <c r="D167" s="64" t="s">
        <v>96</v>
      </c>
      <c r="E167" s="65"/>
      <c r="F167" s="66"/>
      <c r="G167" s="66"/>
      <c r="H167" s="66"/>
      <c r="I167" s="66" t="s">
        <v>81</v>
      </c>
      <c r="J167" s="66"/>
      <c r="K167" s="66"/>
      <c r="L167" s="67"/>
    </row>
    <row r="168" spans="4:12" ht="13.5" thickBot="1" x14ac:dyDescent="0.25">
      <c r="D168" s="46"/>
      <c r="E168" s="86"/>
      <c r="F168" s="47">
        <v>100</v>
      </c>
      <c r="G168" s="47">
        <v>150</v>
      </c>
      <c r="H168" s="47">
        <v>200</v>
      </c>
      <c r="I168" s="47">
        <v>250</v>
      </c>
      <c r="J168" s="100" t="s">
        <v>94</v>
      </c>
      <c r="K168" s="47">
        <v>350</v>
      </c>
      <c r="L168" s="68">
        <v>400</v>
      </c>
    </row>
    <row r="169" spans="4:12" x14ac:dyDescent="0.2">
      <c r="D169" s="69" t="s">
        <v>82</v>
      </c>
      <c r="E169" s="47" t="s">
        <v>89</v>
      </c>
      <c r="F169" s="92">
        <v>40.698656168941959</v>
      </c>
      <c r="G169" s="78">
        <v>34.583064360437334</v>
      </c>
      <c r="H169" s="78">
        <v>29.37685740869448</v>
      </c>
      <c r="I169" s="78">
        <v>24.784578359112448</v>
      </c>
      <c r="J169" s="78">
        <v>20.5577752487829</v>
      </c>
      <c r="K169" s="78">
        <v>16.474977405685603</v>
      </c>
      <c r="L169" s="79">
        <v>12.327223798719492</v>
      </c>
    </row>
    <row r="170" spans="4:12" x14ac:dyDescent="0.2">
      <c r="D170" s="69" t="s">
        <v>83</v>
      </c>
      <c r="E170" s="47" t="s">
        <v>93</v>
      </c>
      <c r="F170" s="93">
        <v>42.992358565459462</v>
      </c>
      <c r="G170" s="89">
        <v>35.654849632117831</v>
      </c>
      <c r="H170" s="50">
        <v>29.745489888883437</v>
      </c>
      <c r="I170" s="50">
        <v>24.839036785111073</v>
      </c>
      <c r="J170" s="81">
        <v>20.618306848767162</v>
      </c>
      <c r="K170" s="50">
        <v>16.839214080847089</v>
      </c>
      <c r="L170" s="82">
        <v>13.306027943055865</v>
      </c>
    </row>
    <row r="171" spans="4:12" ht="13.5" thickBot="1" x14ac:dyDescent="0.25">
      <c r="D171" s="76" t="s">
        <v>84</v>
      </c>
      <c r="E171" s="54" t="s">
        <v>90</v>
      </c>
      <c r="F171" s="94">
        <v>45.477275426107376</v>
      </c>
      <c r="G171" s="90">
        <v>36.996911847493465</v>
      </c>
      <c r="H171" s="90">
        <v>30.579432812797844</v>
      </c>
      <c r="I171" s="53">
        <v>25.597502042486134</v>
      </c>
      <c r="J171" s="53">
        <v>21.626416092972487</v>
      </c>
      <c r="K171" s="53">
        <v>18.373248827080133</v>
      </c>
      <c r="L171" s="84">
        <v>15.631750598903089</v>
      </c>
    </row>
    <row r="172" spans="4:12" x14ac:dyDescent="0.2">
      <c r="F172" s="16" t="s">
        <v>95</v>
      </c>
    </row>
    <row r="173" spans="4:12" ht="13.5" thickBot="1" x14ac:dyDescent="0.25"/>
    <row r="174" spans="4:12" x14ac:dyDescent="0.2">
      <c r="D174" s="64" t="s">
        <v>87</v>
      </c>
      <c r="E174" s="65"/>
      <c r="F174" s="66"/>
      <c r="G174" s="66"/>
      <c r="H174" s="66"/>
      <c r="I174" s="66" t="s">
        <v>81</v>
      </c>
      <c r="J174" s="66"/>
      <c r="K174" s="66"/>
      <c r="L174" s="67"/>
    </row>
    <row r="175" spans="4:12" ht="13.5" thickBot="1" x14ac:dyDescent="0.25">
      <c r="D175" s="46"/>
      <c r="E175" s="87"/>
      <c r="F175" s="47">
        <v>100</v>
      </c>
      <c r="G175" s="47">
        <v>150</v>
      </c>
      <c r="H175" s="47">
        <v>200</v>
      </c>
      <c r="I175" s="47">
        <v>250</v>
      </c>
      <c r="J175" s="100" t="s">
        <v>94</v>
      </c>
      <c r="K175" s="47">
        <v>350</v>
      </c>
      <c r="L175" s="68">
        <v>400</v>
      </c>
    </row>
    <row r="176" spans="4:12" x14ac:dyDescent="0.2">
      <c r="D176" s="69" t="s">
        <v>82</v>
      </c>
      <c r="E176" s="47" t="s">
        <v>89</v>
      </c>
      <c r="F176" s="77">
        <v>993.04721052218383</v>
      </c>
      <c r="G176" s="78">
        <v>1265.7401555920064</v>
      </c>
      <c r="H176" s="78">
        <v>1433.5906415442905</v>
      </c>
      <c r="I176" s="88">
        <v>1511.8592799058595</v>
      </c>
      <c r="J176" s="78">
        <v>1504.8291482109082</v>
      </c>
      <c r="K176" s="78">
        <v>1406.9630704455503</v>
      </c>
      <c r="L176" s="79">
        <v>1203.1370427550223</v>
      </c>
    </row>
    <row r="177" spans="2:12" x14ac:dyDescent="0.2">
      <c r="D177" s="69" t="s">
        <v>83</v>
      </c>
      <c r="E177" s="47" t="s">
        <v>93</v>
      </c>
      <c r="F177" s="80">
        <v>1049.0135489972108</v>
      </c>
      <c r="G177" s="50">
        <v>1304.9674965355125</v>
      </c>
      <c r="H177" s="50">
        <v>1451.5799065775118</v>
      </c>
      <c r="I177" s="89">
        <v>1515.1812438917755</v>
      </c>
      <c r="J177" s="81">
        <v>1509.2600613297561</v>
      </c>
      <c r="K177" s="50">
        <v>1438.0688825043414</v>
      </c>
      <c r="L177" s="82">
        <v>1298.6683272422524</v>
      </c>
    </row>
    <row r="178" spans="2:12" ht="13.5" thickBot="1" x14ac:dyDescent="0.25">
      <c r="D178" s="76" t="s">
        <v>84</v>
      </c>
      <c r="E178" s="54" t="s">
        <v>90</v>
      </c>
      <c r="F178" s="83">
        <v>1109.6455203970199</v>
      </c>
      <c r="G178" s="53">
        <v>1354.0869736182608</v>
      </c>
      <c r="H178" s="53">
        <v>1492.2763212645348</v>
      </c>
      <c r="I178" s="90">
        <v>1561.4476245916542</v>
      </c>
      <c r="J178" s="90">
        <v>1583.0536580055862</v>
      </c>
      <c r="K178" s="90">
        <v>1569.0754498326435</v>
      </c>
      <c r="L178" s="91">
        <v>1525.6588584529416</v>
      </c>
    </row>
    <row r="180" spans="2:12" ht="13.5" thickBot="1" x14ac:dyDescent="0.25"/>
    <row r="181" spans="2:12" x14ac:dyDescent="0.2">
      <c r="D181" s="64" t="s">
        <v>88</v>
      </c>
      <c r="E181" s="65"/>
      <c r="F181" s="66"/>
      <c r="G181" s="66"/>
      <c r="H181" s="66"/>
      <c r="I181" s="66" t="s">
        <v>81</v>
      </c>
      <c r="J181" s="66"/>
      <c r="K181" s="66"/>
      <c r="L181" s="67"/>
    </row>
    <row r="182" spans="2:12" ht="13.5" thickBot="1" x14ac:dyDescent="0.25">
      <c r="D182" s="46"/>
      <c r="E182" s="86"/>
      <c r="F182" s="47">
        <v>100</v>
      </c>
      <c r="G182" s="47">
        <v>150</v>
      </c>
      <c r="H182" s="47">
        <v>200</v>
      </c>
      <c r="I182" s="47">
        <v>250</v>
      </c>
      <c r="J182" s="100" t="s">
        <v>94</v>
      </c>
      <c r="K182" s="47">
        <v>350</v>
      </c>
      <c r="L182" s="68">
        <v>400</v>
      </c>
    </row>
    <row r="183" spans="2:12" x14ac:dyDescent="0.2">
      <c r="D183" s="69" t="s">
        <v>82</v>
      </c>
      <c r="E183" s="47" t="s">
        <v>89</v>
      </c>
      <c r="F183" s="77">
        <v>62.994460824329067</v>
      </c>
      <c r="G183" s="78">
        <v>79.356145493832415</v>
      </c>
      <c r="H183" s="78">
        <v>88.889119750123825</v>
      </c>
      <c r="I183" s="78">
        <v>92.771124792095989</v>
      </c>
      <c r="J183" s="78">
        <v>91.443817518760383</v>
      </c>
      <c r="K183" s="78">
        <v>84.72147784603294</v>
      </c>
      <c r="L183" s="79">
        <v>71.834565476242403</v>
      </c>
    </row>
    <row r="184" spans="2:12" x14ac:dyDescent="0.2">
      <c r="D184" s="69" t="s">
        <v>83</v>
      </c>
      <c r="E184" s="47" t="s">
        <v>93</v>
      </c>
      <c r="F184" s="80">
        <v>71.782558254662248</v>
      </c>
      <c r="G184" s="50">
        <v>88.389244820400634</v>
      </c>
      <c r="H184" s="50">
        <v>97.398851422345189</v>
      </c>
      <c r="I184" s="89">
        <v>100.7907483646963</v>
      </c>
      <c r="J184" s="81">
        <v>99.60132208622305</v>
      </c>
      <c r="K184" s="50">
        <v>94.209793696005448</v>
      </c>
      <c r="L184" s="82">
        <v>84.502370344798649</v>
      </c>
    </row>
    <row r="185" spans="2:12" ht="13.5" thickBot="1" x14ac:dyDescent="0.25">
      <c r="D185" s="76" t="s">
        <v>84</v>
      </c>
      <c r="E185" s="54" t="s">
        <v>90</v>
      </c>
      <c r="F185" s="83">
        <v>81.672238589275452</v>
      </c>
      <c r="G185" s="53">
        <v>98.816465090917774</v>
      </c>
      <c r="H185" s="90">
        <v>108.1078237562714</v>
      </c>
      <c r="I185" s="90">
        <v>112.41931079975349</v>
      </c>
      <c r="J185" s="90">
        <v>113.38007936009166</v>
      </c>
      <c r="K185" s="90">
        <v>111.88614246144111</v>
      </c>
      <c r="L185" s="91">
        <v>108.3903863067126</v>
      </c>
    </row>
    <row r="186" spans="2:12" x14ac:dyDescent="0.2">
      <c r="I186" s="16" t="s">
        <v>91</v>
      </c>
    </row>
    <row r="189" spans="2:12" ht="20.25" x14ac:dyDescent="0.3">
      <c r="B189" s="101" t="s">
        <v>98</v>
      </c>
    </row>
    <row r="209" spans="2:22" x14ac:dyDescent="0.2">
      <c r="B209" t="s">
        <v>7</v>
      </c>
      <c r="C209">
        <v>2</v>
      </c>
      <c r="D209">
        <v>4</v>
      </c>
      <c r="E209">
        <v>6</v>
      </c>
      <c r="F209">
        <v>8</v>
      </c>
      <c r="G209">
        <v>10</v>
      </c>
      <c r="H209">
        <v>12</v>
      </c>
      <c r="I209">
        <v>14</v>
      </c>
      <c r="J209">
        <v>16</v>
      </c>
      <c r="K209">
        <v>18</v>
      </c>
      <c r="L209">
        <v>20</v>
      </c>
      <c r="M209">
        <v>22</v>
      </c>
      <c r="N209">
        <v>24</v>
      </c>
      <c r="O209">
        <v>26</v>
      </c>
      <c r="P209">
        <v>28</v>
      </c>
      <c r="Q209">
        <v>30</v>
      </c>
      <c r="R209">
        <v>32</v>
      </c>
      <c r="S209">
        <v>34</v>
      </c>
      <c r="T209">
        <v>36</v>
      </c>
      <c r="U209">
        <v>38</v>
      </c>
      <c r="V209">
        <v>40</v>
      </c>
    </row>
    <row r="210" spans="2:22" x14ac:dyDescent="0.2">
      <c r="B210" t="s">
        <v>99</v>
      </c>
      <c r="C210">
        <v>0</v>
      </c>
      <c r="D210">
        <v>0</v>
      </c>
      <c r="E210">
        <v>0</v>
      </c>
      <c r="F210">
        <v>0</v>
      </c>
      <c r="G210">
        <v>0.05</v>
      </c>
      <c r="H210">
        <v>0.1</v>
      </c>
      <c r="I210">
        <v>0.9</v>
      </c>
      <c r="J210">
        <v>1</v>
      </c>
      <c r="K210">
        <v>0.9</v>
      </c>
      <c r="L210">
        <v>0.6</v>
      </c>
      <c r="M210">
        <v>0.4</v>
      </c>
      <c r="N210">
        <v>0.2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</row>
    <row r="211" spans="2:22" x14ac:dyDescent="0.2">
      <c r="B211" t="s">
        <v>100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0.05</v>
      </c>
      <c r="I211">
        <v>0.1</v>
      </c>
      <c r="J211">
        <v>0.9</v>
      </c>
      <c r="K211">
        <v>1</v>
      </c>
      <c r="L211">
        <v>0.9</v>
      </c>
      <c r="M211">
        <v>0.6</v>
      </c>
      <c r="N211">
        <v>0.4</v>
      </c>
      <c r="O211">
        <v>0.2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</row>
    <row r="212" spans="2:22" x14ac:dyDescent="0.2">
      <c r="B212" t="s">
        <v>97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0.05</v>
      </c>
      <c r="J212">
        <v>0.1</v>
      </c>
      <c r="K212">
        <v>0.9</v>
      </c>
      <c r="L212">
        <v>1</v>
      </c>
      <c r="M212">
        <v>0.9</v>
      </c>
      <c r="N212">
        <v>0.6</v>
      </c>
      <c r="O212">
        <v>0.4</v>
      </c>
      <c r="P212">
        <v>0.2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</row>
  </sheetData>
  <phoneticPr fontId="2" type="noConversion"/>
  <pageMargins left="0.75" right="0.75" top="1" bottom="1" header="0.5" footer="0.5"/>
  <pageSetup paperSize="9" orientation="portrait" horizontalDpi="200" verticalDpi="2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2" shapeId="2054" r:id="rId4">
          <objectPr defaultSize="0" autoFill="0" autoPict="0" r:id="rId5">
            <anchor moveWithCells="1">
              <from>
                <xdr:col>5</xdr:col>
                <xdr:colOff>638175</xdr:colOff>
                <xdr:row>65</xdr:row>
                <xdr:rowOff>152400</xdr:rowOff>
              </from>
              <to>
                <xdr:col>11</xdr:col>
                <xdr:colOff>219075</xdr:colOff>
                <xdr:row>70</xdr:row>
                <xdr:rowOff>114300</xdr:rowOff>
              </to>
            </anchor>
          </objectPr>
        </oleObject>
      </mc:Choice>
      <mc:Fallback>
        <oleObject progId="Equation.2" shapeId="2054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14</vt:i4>
      </vt:variant>
    </vt:vector>
  </HeadingPairs>
  <TitlesOfParts>
    <vt:vector size="21" baseType="lpstr">
      <vt:lpstr>Introduction</vt:lpstr>
      <vt:lpstr>Intro</vt:lpstr>
      <vt:lpstr>Interface</vt:lpstr>
      <vt:lpstr>Design</vt:lpstr>
      <vt:lpstr>License &amp; Reference</vt:lpstr>
      <vt:lpstr>Sheet3</vt:lpstr>
      <vt:lpstr>motor</vt:lpstr>
      <vt:lpstr>aBH</vt:lpstr>
      <vt:lpstr>aLW</vt:lpstr>
      <vt:lpstr>bBH</vt:lpstr>
      <vt:lpstr>bLW</vt:lpstr>
      <vt:lpstr>boats</vt:lpstr>
      <vt:lpstr>days</vt:lpstr>
      <vt:lpstr>F</vt:lpstr>
      <vt:lpstr>K</vt:lpstr>
      <vt:lpstr>Lmax</vt:lpstr>
      <vt:lpstr>M</vt:lpstr>
      <vt:lpstr>pricekga</vt:lpstr>
      <vt:lpstr>pricekgb</vt:lpstr>
      <vt:lpstr>q</vt:lpstr>
      <vt:lpstr>t0</vt:lpstr>
    </vt:vector>
  </TitlesOfParts>
  <Company>Norges fiskerihøgskole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Ekanger Aysa Arylova</cp:lastModifiedBy>
  <dcterms:created xsi:type="dcterms:W3CDTF">2007-06-04T11:59:55Z</dcterms:created>
  <dcterms:modified xsi:type="dcterms:W3CDTF">2015-09-22T08:46:20Z</dcterms:modified>
</cp:coreProperties>
</file>